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200" windowHeight="11145" tabRatio="602" firstSheet="11" activeTab="13"/>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 Avaliação" sheetId="9" r:id="rId9"/>
    <sheet name="Comparação" sheetId="10" r:id="rId10"/>
    <sheet name=" Patrimônio" sheetId="11" r:id="rId11"/>
    <sheet name=" Alienação" sheetId="12" r:id="rId12"/>
    <sheet name="RPPS-Fin-Atuarial" sheetId="13" r:id="rId13"/>
    <sheet name="Renúncia" sheetId="14" r:id="rId14"/>
    <sheet name="DOCC" sheetId="15" r:id="rId15"/>
    <sheet name="DOCC(alternativa)" sheetId="16" r:id="rId16"/>
    <sheet name="Anexo Riscos" sheetId="17" r:id="rId17"/>
    <sheet name="Anexo III - Metas e Prioridades" sheetId="18" r:id="rId18"/>
    <sheet name="Anexo IV - Consdo Patrimônio" sheetId="19" r:id="rId19"/>
    <sheet name="Planilha1" sheetId="20" r:id="rId20"/>
  </sheets>
  <definedNames>
    <definedName name="_xlnm.Print_Area" localSheetId="8">' Avaliação'!$A$1:$I$46</definedName>
    <definedName name="_xlnm.Print_Area" localSheetId="0">'Parâmetros'!$A$7:$G$26</definedName>
    <definedName name="_xlnm.Print_Area" localSheetId="1">'Projeções'!$A$1:$AL$177</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<sst xmlns="http://schemas.openxmlformats.org/spreadsheetml/2006/main" count="993" uniqueCount="708">
  <si>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</si>
  <si>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</si>
  <si>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</si>
  <si>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</si>
  <si>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</si>
  <si>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</si>
  <si>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</si>
  <si>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</si>
  <si>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</si>
  <si>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</si>
  <si>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</si>
  <si>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</si>
  <si>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</si>
  <si>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</si>
  <si>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</si>
  <si>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</si>
  <si>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</si>
  <si>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</si>
  <si>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</si>
  <si>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</si>
  <si>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</si>
  <si>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</si>
  <si>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</si>
  <si>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</si>
  <si>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</si>
  <si>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</si>
  <si>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</si>
  <si>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</si>
  <si>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</si>
  <si>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</si>
  <si>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</si>
  <si>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</si>
  <si>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</si>
  <si>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</si>
  <si>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</si>
  <si>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</si>
  <si>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</si>
  <si>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</si>
  <si>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</si>
  <si>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</si>
  <si>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</si>
  <si>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</si>
  <si>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</si>
  <si>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</si>
  <si>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</si>
  <si>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</si>
  <si>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</si>
  <si>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</si>
  <si>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</si>
  <si>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</si>
  <si>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</si>
  <si>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</si>
  <si>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</si>
  <si>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</si>
  <si>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</si>
  <si>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</si>
  <si>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</si>
  <si>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</si>
  <si>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</si>
  <si>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</si>
  <si>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</si>
  <si>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</si>
  <si>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</si>
  <si>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</si>
  <si>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</si>
  <si>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</si>
  <si>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</si>
  <si>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</si>
  <si>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Receita Total</t>
  </si>
  <si>
    <t xml:space="preserve"> Despesa Total</t>
  </si>
  <si>
    <t xml:space="preserve"> Resultado Primário (I – II)</t>
  </si>
  <si>
    <t xml:space="preserve"> Resultado Nominal</t>
  </si>
  <si>
    <t xml:space="preserve"> Dívida Pública Consolidada </t>
  </si>
  <si>
    <t xml:space="preserve"> Dívida Consolidada Líquida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</si>
  <si>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</si>
  <si>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</si>
  <si>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</si>
  <si>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</si>
  <si>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</si>
  <si>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</si>
  <si>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</si>
  <si>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</si>
  <si>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</si>
  <si>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</si>
  <si>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</si>
  <si>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</si>
  <si>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</si>
  <si>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</si>
  <si>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</si>
  <si>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</si>
  <si>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</si>
  <si>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</si>
  <si>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</si>
  <si>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</si>
  <si>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</si>
  <si>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</si>
  <si>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</si>
  <si>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</si>
  <si>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</si>
  <si>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</si>
  <si>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</si>
  <si>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</si>
  <si>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</si>
  <si>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</si>
  <si>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</si>
  <si>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</si>
  <si>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</si>
  <si>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</si>
  <si>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</si>
  <si>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</si>
  <si>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</si>
  <si>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 xml:space="preserve">   Impacto de Novas DOCC</t>
  </si>
  <si>
    <t>Margem Líquida de Expansão de DOCC (III-IV)</t>
  </si>
  <si>
    <t>DEMONSTRATIVO DE RISCOS FISCAIS E PROVIDÊNCIAS</t>
  </si>
  <si>
    <t>PROVIDÊNCIAS</t>
  </si>
  <si>
    <t>Descrição</t>
  </si>
  <si>
    <t>I-Metas Previstas em</t>
  </si>
  <si>
    <t>II-Metas Realizadas em</t>
  </si>
  <si>
    <t>Valor (c) = (b-a)</t>
  </si>
  <si>
    <t>Variação %</t>
  </si>
  <si>
    <t>Variação%</t>
  </si>
  <si>
    <t xml:space="preserve">  Receitas Primárias (I)</t>
  </si>
  <si>
    <t>Despesas Primárias (II)</t>
  </si>
  <si>
    <t>Fonte:</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</si>
  <si>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</si>
  <si>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</si>
  <si>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</si>
  <si>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</si>
  <si>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</si>
  <si>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</si>
  <si>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</si>
  <si>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</si>
  <si>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</si>
  <si>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</si>
  <si>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</si>
  <si>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</si>
  <si>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</si>
  <si>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</si>
  <si>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</si>
  <si>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</si>
  <si>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</si>
  <si>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</si>
  <si>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</si>
  <si>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</si>
  <si>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</si>
  <si>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</si>
  <si>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</si>
  <si>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</si>
  <si>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</si>
  <si>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</si>
  <si>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</si>
  <si>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</si>
  <si>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</si>
  <si>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</si>
  <si>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</si>
  <si>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</si>
  <si>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</si>
  <si>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</si>
  <si>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</si>
  <si>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</si>
  <si>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</si>
  <si>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</si>
  <si>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</si>
  <si>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</si>
  <si>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</si>
  <si>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</si>
  <si>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</si>
  <si>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</si>
  <si>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</si>
  <si>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</si>
  <si>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</si>
  <si>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</si>
  <si>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</si>
  <si>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</si>
  <si>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</si>
  <si>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RESULTADO PREVIDENCIÁRIO (VII) = (III – VI)</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</si>
  <si>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</si>
  <si>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</si>
  <si>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</si>
  <si>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</si>
  <si>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</si>
  <si>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</si>
  <si>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</si>
  <si>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</si>
  <si>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</si>
  <si>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</si>
  <si>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</si>
  <si>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</si>
  <si>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</si>
  <si>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</si>
  <si>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</si>
  <si>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</si>
  <si>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</si>
  <si>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</si>
  <si>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</si>
  <si>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</si>
  <si>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</si>
  <si>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</si>
  <si>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</si>
  <si>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</si>
  <si>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</si>
  <si>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</si>
  <si>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</si>
  <si>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</si>
  <si>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</si>
  <si>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</si>
  <si>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</si>
  <si>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</si>
  <si>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 xml:space="preserve">Invetimentos  RPPS </t>
  </si>
  <si>
    <t>CONSERVAÇÃO DO PATRIMÔNIO</t>
  </si>
  <si>
    <t>Receitas Primárias Advindas de PPP (IV)</t>
  </si>
  <si>
    <t>Despesas Primárias Geradas por PPP (V)</t>
  </si>
  <si>
    <t>Impacto do Saldo das PPP (VI) = (IV) - (V)</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</si>
  <si>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</si>
  <si>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</si>
  <si>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</si>
  <si>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</si>
  <si>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</si>
  <si>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</si>
  <si>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</si>
  <si>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</si>
  <si>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</si>
  <si>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</si>
  <si>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</si>
  <si>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</si>
  <si>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</si>
  <si>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</si>
  <si>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</si>
  <si>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1.2.1.0.04.0.0.00.00.00</t>
  </si>
  <si>
    <t>1.2.1.0.06.0.0.00.00.00</t>
  </si>
  <si>
    <t>Contribuição para os Fundos de Assistência Médica</t>
  </si>
  <si>
    <t>1.2.1.0.99.0.0.00.00.00</t>
  </si>
  <si>
    <t>Outras Contribuições Sociais</t>
  </si>
  <si>
    <t>1.2.1.8.00.0.0.00.00.00</t>
  </si>
  <si>
    <t>Contribuições Sociais específicas de Estados, DF, Municípios</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</si>
  <si>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</si>
  <si>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</si>
  <si>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</si>
  <si>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</si>
  <si>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</si>
  <si>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</si>
  <si>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</si>
  <si>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</si>
  <si>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</si>
  <si>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</si>
  <si>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</si>
  <si>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</si>
  <si>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</si>
  <si>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</si>
  <si>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</si>
  <si>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Remuneração dos Recursos do Regime Próprio de Previdência Social - RPPS</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</si>
  <si>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</si>
  <si>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</si>
  <si>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</si>
  <si>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</si>
  <si>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</si>
  <si>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</si>
  <si>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</si>
  <si>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</si>
  <si>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</si>
  <si>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</si>
  <si>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</si>
  <si>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</si>
  <si>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</si>
  <si>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</si>
  <si>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</si>
  <si>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</si>
  <si>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</si>
  <si>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</si>
  <si>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</si>
  <si>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</si>
  <si>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</si>
  <si>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</si>
  <si>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</si>
  <si>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</si>
  <si>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</si>
  <si>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</si>
  <si>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</si>
  <si>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</si>
  <si>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</si>
  <si>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1.7.1.8.04.0.0.00.00.00</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</si>
  <si>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</si>
  <si>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</si>
  <si>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</si>
  <si>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</si>
  <si>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</si>
  <si>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</si>
  <si>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</si>
  <si>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</si>
  <si>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</si>
  <si>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</si>
  <si>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</si>
  <si>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</si>
  <si>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</si>
  <si>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</si>
  <si>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</si>
  <si>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</si>
  <si>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</si>
  <si>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</si>
  <si>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</si>
  <si>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</si>
  <si>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</si>
  <si>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</si>
  <si>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</si>
  <si>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</si>
  <si>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</si>
  <si>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</si>
  <si>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</si>
  <si>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</si>
  <si>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</si>
  <si>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</si>
  <si>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</si>
  <si>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</si>
  <si>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</si>
  <si>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</si>
  <si>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</si>
  <si>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</si>
  <si>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</si>
  <si>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</si>
  <si>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</si>
  <si>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</si>
  <si>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</si>
  <si>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</si>
  <si>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</si>
  <si>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</si>
  <si>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</si>
  <si>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</si>
  <si>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</si>
  <si>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</si>
  <si>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</si>
  <si>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</si>
  <si>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</si>
  <si>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</si>
  <si>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</si>
  <si>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</si>
  <si>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</si>
  <si>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</si>
  <si>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</si>
  <si>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</si>
  <si>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</si>
  <si>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</si>
  <si>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</si>
  <si>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</si>
  <si>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</si>
  <si>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</si>
  <si>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</si>
  <si>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</si>
  <si>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</si>
  <si>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</si>
  <si>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</si>
  <si>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</si>
  <si>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</si>
  <si>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</si>
  <si>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</si>
  <si>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</si>
  <si>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</si>
  <si>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</si>
  <si>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</si>
  <si>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</si>
  <si>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</si>
  <si>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</si>
  <si>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</si>
  <si>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</si>
  <si>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</si>
  <si>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</si>
  <si>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</si>
  <si>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</si>
  <si>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</si>
  <si>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</si>
  <si>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</si>
  <si>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</si>
  <si>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</si>
  <si>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</si>
  <si>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</si>
  <si>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</si>
  <si>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</si>
  <si>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</si>
  <si>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</si>
  <si>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</si>
  <si>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</si>
  <si>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</si>
  <si>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</si>
  <si>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</si>
  <si>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</si>
  <si>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</si>
  <si>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</si>
  <si>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</si>
  <si>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</si>
  <si>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</si>
  <si>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Valor Corrente (a)</t>
  </si>
  <si>
    <t>% RCL</t>
  </si>
  <si>
    <t>(a /RCL)</t>
  </si>
  <si>
    <t>II - DEDUÇÕES</t>
  </si>
  <si>
    <t xml:space="preserve">    I R R F s/Rendimentos do Trabalho</t>
  </si>
  <si>
    <t>Contribuições Previdenciárias do Regime Próprio</t>
  </si>
  <si>
    <t>Compensação Financeira entre Regimes</t>
  </si>
  <si>
    <t>III - (+) Ajuste Perdas com o Fundeb</t>
  </si>
  <si>
    <t>IV - RECEITA CORRENTE LÍQUIDA (I-II+III)</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</si>
  <si>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</si>
  <si>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</si>
  <si>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</si>
  <si>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</si>
  <si>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</si>
  <si>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</si>
  <si>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</si>
  <si>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</si>
  <si>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</si>
  <si>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</si>
  <si>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(B /RCL)</t>
  </si>
  <si>
    <t>(b /RCL)</t>
  </si>
  <si>
    <t>AMF - Demonstrativo 6 (LRF, art. 4º, § 2º, inciso IV, alínea "a")</t>
  </si>
  <si>
    <t>RECEITAS E DESPESAS PREVIDENCIÁRIOS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</si>
  <si>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</si>
  <si>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</si>
  <si>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</si>
  <si>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</si>
  <si>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</si>
  <si>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</si>
  <si>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</si>
  <si>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</si>
  <si>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</si>
  <si>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</si>
  <si>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Em Regime de Parcelamento de Débitos</t>
  </si>
  <si>
    <t>Receitas Imobiliárias</t>
  </si>
  <si>
    <t>Receitas de Valores Mobiliários</t>
  </si>
  <si>
    <t>Outras Receitas Patrimoniais</t>
  </si>
  <si>
    <t>Receita de Aporte Periódico de Valores Predefinidos</t>
  </si>
  <si>
    <t>Compensação Previdenciária do RGPS para o RPPS</t>
  </si>
  <si>
    <t>RECEITAS DE CAPITAL (II)</t>
  </si>
  <si>
    <t>Alienação de Bens, Direitos e Ativos</t>
  </si>
  <si>
    <t>TOTAL DAS RECEITAS PREVIDENCIÁRIAS RPPS - (III) = (I + II)</t>
  </si>
  <si>
    <t>DESPESAS PREVIDENCIÁRIAS - RPPS</t>
  </si>
  <si>
    <t>ADMINISTRAÇÃO (IV)</t>
  </si>
  <si>
    <t>Despesas Correntes</t>
  </si>
  <si>
    <t>Despesas de Capital</t>
  </si>
  <si>
    <t>PREVIDÊNCIA (V)</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</si>
  <si>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</si>
  <si>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</si>
  <si>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</si>
  <si>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</si>
  <si>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</si>
  <si>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</si>
  <si>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</si>
  <si>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</si>
  <si>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</si>
  <si>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(VI) = (IV + V)</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</si>
  <si>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</si>
  <si>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</si>
  <si>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</si>
  <si>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</si>
  <si>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</si>
  <si>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</si>
  <si>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</si>
  <si>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</si>
  <si>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</si>
  <si>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</si>
  <si>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</si>
  <si>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RECEITAS CORRENTES (VIII)</t>
  </si>
  <si>
    <t>Receita de Contribuições dos Segurados</t>
  </si>
  <si>
    <t>Receita de Contribuições Patronais</t>
  </si>
  <si>
    <t>RECEITAS DE CAPITAL (IX)</t>
  </si>
  <si>
    <t>TOTAL DAS RECEITAS PREVIDENCIÁRIAS RPPS - (X) = (VIII + IX)</t>
  </si>
  <si>
    <t>ADMINISTRAÇÃO (XI)</t>
  </si>
  <si>
    <t>PREVIDÊNCIA (XII)</t>
  </si>
  <si>
    <t xml:space="preserve">Aposentadorias </t>
  </si>
  <si>
    <t>TOTAL DAS DESPESAS PREVIDENCIÁRIAS RPPS (XIII) = (XI + XII)</t>
  </si>
  <si>
    <t>RESULTADO PREVIDENCIÁRIO (XIV) = (X – XIII)</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</si>
  <si>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</si>
  <si>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</si>
  <si>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</si>
  <si>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</si>
  <si>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</si>
  <si>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r>
      <t>Em Regime de Parcelamento de Débitos</t>
    </r>
    <r>
      <rPr>
        <sz val="8"/>
        <rFont val="Arial"/>
        <family val="2"/>
      </rPr>
      <t xml:space="preserve"> </t>
    </r>
  </si>
  <si>
    <r>
      <t xml:space="preserve">Receitas
Previdenciárias </t>
    </r>
    <r>
      <rPr>
        <b/>
        <sz val="8"/>
        <rFont val="Arial"/>
        <family val="2"/>
      </rPr>
      <t>(a)</t>
    </r>
  </si>
  <si>
    <r>
      <t xml:space="preserve">Despesas
Previdenciárias
</t>
    </r>
    <r>
      <rPr>
        <b/>
        <sz val="8"/>
        <rFont val="Arial"/>
        <family val="2"/>
      </rPr>
      <t>(b)</t>
    </r>
  </si>
  <si>
    <r>
      <t xml:space="preserve">Resultado
Previdenciário
</t>
    </r>
    <r>
      <rPr>
        <b/>
        <sz val="8"/>
        <rFont val="Arial"/>
        <family val="2"/>
      </rPr>
      <t>(c) = (a-b)</t>
    </r>
  </si>
  <si>
    <r>
      <t xml:space="preserve">Saldo Financeiro 
do Exercício
</t>
    </r>
    <r>
      <rPr>
        <b/>
        <sz val="8"/>
        <rFont val="Arial"/>
        <family val="2"/>
      </rPr>
      <t>(d) = (d Exercício Anterior) + (c)</t>
    </r>
  </si>
  <si>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</si>
  <si>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</si>
  <si>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</si>
  <si>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</si>
  <si>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</si>
  <si>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</si>
  <si>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</si>
  <si>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</si>
  <si>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</si>
  <si>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</si>
  <si>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</si>
  <si>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ANEXO DE METAS FISCAIS</t>
  </si>
  <si>
    <t>METAS ANUAIS - CONSOLIDADO</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</si>
  <si>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</si>
  <si>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</si>
  <si>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</si>
  <si>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</si>
  <si>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</si>
  <si>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</si>
  <si>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</si>
  <si>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</si>
  <si>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</si>
  <si>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</si>
  <si>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</si>
  <si>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</si>
  <si>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</si>
  <si>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</si>
  <si>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t xml:space="preserve">Valor Constante </t>
  </si>
  <si>
    <t>Valor Corrente (b)</t>
  </si>
  <si>
    <t>Valor Constante</t>
  </si>
  <si>
    <t>Valor Corrente (c)</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</si>
  <si>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</si>
  <si>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</si>
  <si>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</si>
  <si>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</si>
  <si>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</si>
  <si>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</si>
  <si>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</si>
  <si>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</si>
  <si>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</si>
  <si>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</si>
  <si>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</si>
  <si>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</si>
  <si>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</si>
  <si>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</si>
  <si>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</si>
  <si>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</si>
  <si>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</si>
  <si>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</si>
  <si>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</si>
  <si>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</si>
  <si>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</si>
  <si>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</si>
  <si>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</si>
  <si>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</si>
  <si>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</si>
  <si>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</si>
  <si>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</si>
  <si>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</si>
  <si>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</si>
  <si>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</si>
  <si>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</si>
  <si>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</si>
  <si>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</si>
  <si>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</si>
  <si>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</si>
  <si>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</si>
  <si>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</si>
  <si>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</si>
  <si>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</si>
  <si>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</si>
  <si>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</si>
  <si>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DESPESAS PRIMÁRIAS TOTAIS (VI = IV + V)</t>
  </si>
  <si>
    <t>Pagamento</t>
  </si>
  <si>
    <t>Pagto Estimado</t>
  </si>
  <si>
    <t>RESULTADO PRIMÁRIO   -  ACIMA DA LINHA (VII = III - VI)</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</si>
  <si>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</si>
  <si>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</si>
  <si>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</si>
  <si>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</si>
  <si>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</si>
  <si>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</si>
  <si>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</si>
  <si>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</si>
  <si>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</si>
  <si>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</si>
  <si>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</si>
  <si>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</si>
  <si>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</si>
  <si>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</si>
  <si>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</si>
  <si>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</si>
  <si>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</si>
  <si>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</si>
  <si>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SOMA  DOS JUROS E ENCARGOS ATIVOS  (VIII)</t>
  </si>
  <si>
    <t>JUROS E ENCARGOS PASSIVOS (Variações Patrimoniais Diminutivas)</t>
  </si>
  <si>
    <t>SOMA  DOS JUROS E ENCARGOS PASSIVOS (IX)</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</si>
  <si>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</si>
  <si>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</si>
  <si>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</si>
  <si>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</si>
  <si>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</si>
  <si>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</si>
  <si>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</si>
  <si>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</si>
  <si>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</si>
  <si>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</si>
  <si>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</si>
  <si>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</si>
  <si>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</si>
  <si>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</si>
  <si>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</si>
  <si>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</si>
  <si>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</si>
  <si>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RESULTADO NOMINAL  -  ACIMA DA LINHA (X = VII + VIII - IX))</t>
  </si>
  <si>
    <t>Lucros ou Prejuízos Acumulados</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</si>
  <si>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</si>
  <si>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</si>
  <si>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</si>
  <si>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</si>
  <si>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</si>
  <si>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</si>
  <si>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</si>
  <si>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</si>
  <si>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</si>
  <si>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</si>
  <si>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</si>
  <si>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</si>
  <si>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</si>
  <si>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Corrente</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</si>
  <si>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</si>
  <si>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</si>
  <si>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</si>
  <si>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</si>
  <si>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</si>
  <si>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</si>
  <si>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</si>
  <si>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</si>
  <si>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</si>
  <si>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</si>
  <si>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</si>
  <si>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</si>
  <si>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</si>
  <si>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</si>
  <si>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</si>
  <si>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</si>
  <si>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</si>
  <si>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Invetimentos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</si>
  <si>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</si>
  <si>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</si>
  <si>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</si>
  <si>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</si>
  <si>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</si>
  <si>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Inflação para 2022:</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</si>
  <si>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</si>
  <si>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</si>
  <si>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</si>
  <si>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</si>
  <si>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</si>
  <si>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</si>
  <si>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</si>
  <si>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</si>
  <si>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</si>
  <si>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</si>
  <si>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t>SALDOS DE EXERCÍCIOS ANTERIORES A 2016</t>
  </si>
  <si>
    <r>
      <t>Memória de Cálculo das Estimativas de</t>
    </r>
    <r>
      <rPr>
        <b/>
        <sz val="12"/>
        <color indexed="10"/>
        <rFont val="Arial"/>
        <family val="2"/>
      </rPr>
      <t xml:space="preserve"> Pagamento das Despesas</t>
    </r>
    <r>
      <rPr>
        <b/>
        <sz val="12"/>
        <rFont val="Arial"/>
        <family val="2"/>
      </rPr>
      <t xml:space="preserve"> - Inclusive Restos a Pagar</t>
    </r>
  </si>
  <si>
    <t>Apuração Conforme a Instrução Normativa nº 06/2019, do TCE/RS</t>
  </si>
  <si>
    <t>EXERCÍCIO DE 2021</t>
  </si>
  <si>
    <t>Preenchimento Opcional Cfe. Item 02.01.03.01 da 10ª Edição do MDF</t>
  </si>
  <si>
    <t>Preenchimento Opcional Cfe. Item 02.01.03.01 da 9ª Edição do MDF</t>
  </si>
  <si>
    <t>Preenchimento Opcional Cfe 10ª Edição do MDF</t>
  </si>
  <si>
    <t>Preenchimento opcional cfe. Item 02.01.03.01 da 10ª edição do MDF</t>
  </si>
  <si>
    <t>Obs:  1 -   Os valores da renúncia para 2021 foram previstos de acordo com informações da Administração tributária</t>
  </si>
  <si>
    <t>2 - Os valores da renúncia projetados para 2022 e 2023, foram claculados a partir dos valores de 2021, apli</t>
  </si>
  <si>
    <t>Inflação para 2023:</t>
  </si>
  <si>
    <t>Valor Previsto 2021</t>
  </si>
  <si>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</si>
  <si>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</si>
  <si>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</si>
  <si>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</si>
  <si>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</si>
  <si>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r>
      <rPr>
        <b/>
        <sz val="10"/>
        <color indexed="10"/>
        <rFont val="Arial"/>
        <family val="2"/>
      </rPr>
      <t>Tabela 03 -</t>
    </r>
    <r>
      <rPr>
        <b/>
        <sz val="10"/>
        <color indexed="8"/>
        <rFont val="Arial"/>
        <family val="2"/>
      </rPr>
      <t xml:space="preserve"> Evolução e Estimativas para a Receita Corrente Líquida</t>
    </r>
  </si>
  <si>
    <t>Município de : Tavares</t>
  </si>
  <si>
    <t>IPTU</t>
  </si>
  <si>
    <t>ISENÇÃO</t>
  </si>
  <si>
    <t>MULTAS E JURAS DA</t>
  </si>
  <si>
    <t>ISS</t>
  </si>
  <si>
    <t>MULTAS E JUROS DO ISS</t>
  </si>
  <si>
    <t>MULTAS E JUROS IPTU</t>
  </si>
  <si>
    <t>MULTAS E JUROS DA ISS</t>
  </si>
  <si>
    <t>DESCONTO</t>
  </si>
  <si>
    <t>Capítulo IV.Art 16 e 17 CT 2116/18</t>
  </si>
  <si>
    <t>CONTRIB.PAGTO COTA ÚNICA</t>
  </si>
  <si>
    <t>CONTRIBUINTES</t>
  </si>
  <si>
    <t>RESERVA DE CONTIGÊNCIA</t>
  </si>
  <si>
    <t>LIMITAÇÃO EMPENHO CFE.LDO</t>
  </si>
  <si>
    <t>Ampliação e Reforma do  Prédio da Prefeitura</t>
  </si>
  <si>
    <t>220,000,00</t>
  </si>
  <si>
    <t>Const.Ampl. Postos de Saúde e Plantão 24h</t>
  </si>
  <si>
    <t>Implantação do Parque de Eventos</t>
  </si>
  <si>
    <t>Melhorias Construções Habitacionais</t>
  </si>
  <si>
    <t>Manutenção da Secretaria de Coordenação</t>
  </si>
  <si>
    <t>Impl. Ampl.Melhor. Conserv. Urbana, praças</t>
  </si>
  <si>
    <t>Ampl. E conservação rede de esgoto</t>
  </si>
  <si>
    <t>Const. Reforma, ampl e moder escolas</t>
  </si>
  <si>
    <t>Praça da Juventude</t>
  </si>
  <si>
    <t>Ampl. Conserv. Da rede de iluminação pública</t>
  </si>
  <si>
    <t>Construção do Pórtico</t>
  </si>
  <si>
    <t>MUNICÍPIO DE: Tavares</t>
  </si>
  <si>
    <t>EXERCÍCIO DE 2022</t>
  </si>
  <si>
    <t xml:space="preserve"> EXERCÍCIO DE 2022</t>
  </si>
  <si>
    <t xml:space="preserve">EXERCÍCIO DE 2022 </t>
  </si>
  <si>
    <t>LEI DE DIRETRIZES ORÇAMENTÁRIAS – 2022</t>
  </si>
  <si>
    <t>LEI DE DIRETRIZES ORÇAMENTÁRIAS - 2022</t>
  </si>
  <si>
    <r>
      <rPr>
        <b/>
        <sz val="11"/>
        <color indexed="10"/>
        <rFont val="Arial"/>
        <family val="2"/>
      </rPr>
      <t>Tabela 04 -</t>
    </r>
    <r>
      <rPr>
        <b/>
        <sz val="11"/>
        <color indexed="8"/>
        <rFont val="Arial"/>
        <family val="2"/>
      </rPr>
      <t xml:space="preserve"> Estimativa de Limites de Gastos com Pessoal do Poder Executivo e Legislativo para o período de 2022 a 2024</t>
    </r>
  </si>
  <si>
    <t>2020 (a)</t>
  </si>
  <si>
    <t>2020 (b)</t>
  </si>
  <si>
    <t>ATÉ EXERC ANTERIOR - 2020</t>
  </si>
  <si>
    <t>NO EXERCÍCIO DE 2021</t>
  </si>
  <si>
    <t>A EXECUTAR EM 2022</t>
  </si>
  <si>
    <t>RECURSOS PRIORIZADOS PARA 2022</t>
  </si>
  <si>
    <t>Construção do Prédio do CRAS</t>
  </si>
  <si>
    <t>Ampliação e Pav.das vias publicas</t>
  </si>
  <si>
    <t>Cobertura da quadra poliesportiva</t>
  </si>
  <si>
    <t>Valor Previsto 2022</t>
  </si>
  <si>
    <t>LEI  ORÇAMENTÁRIAS  PARA 2022</t>
  </si>
  <si>
    <t>Lei  Orçamentárias para o Exercício de 2022</t>
  </si>
  <si>
    <t>LEI  ORÇAMENTÁRIAS 2022</t>
  </si>
  <si>
    <t>LEI  ORÇAMENTÁRIAS PARA 2022</t>
  </si>
  <si>
    <t>LEI  ORÇAMENTÁRIAS ANUAL</t>
  </si>
  <si>
    <t>LEI  ORÇAMENTÁRIAS ANUAL 2022</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</si>
</sst>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 #,##0_);\(&quot;R$&quot;\ #,##0\)"/>
    <numFmt numFmtId="187" formatCode="&quot;R$&quot;\ #,##0_);[Red]\(&quot;R$&quot;\ #,##0\)"/>
    <numFmt numFmtId="188" formatCode="&quot;R$&quot;\ #,##0.00_);\(&quot;R$&quot;\ #,##0.00\)"/>
    <numFmt numFmtId="189" formatCode="&quot;R$&quot;\ #,##0.00_);[Red]\(&quot;R$&quot;\ #,##0.00\)"/>
    <numFmt numFmtId="190" formatCode="_(&quot;R$&quot;\ * #,##0_);_(&quot;R$&quot;\ * \(#,##0\);_(&quot;R$&quot;\ * &quot;-&quot;_);_(@_)"/>
    <numFmt numFmtId="191" formatCode="_(&quot;R$&quot;\ * #,##0.00_);_(&quot;R$&quot;\ * \(#,##0.00\);_(&quot;R$&quot;\ * &quot;-&quot;??_);_(@_)"/>
    <numFmt numFmtId="192" formatCode="&quot;R$&quot;#,##0_);\(&quot;R$&quot;#,##0\)"/>
    <numFmt numFmtId="193" formatCode="&quot;R$&quot;#,##0_);[Red]\(&quot;R$&quot;#,##0\)"/>
    <numFmt numFmtId="194" formatCode="&quot;R$&quot;#,##0.00_);\(&quot;R$&quot;#,##0.00\)"/>
    <numFmt numFmtId="195" formatCode="&quot;R$&quot;#,##0.00_);[Red]\(&quot;R$&quot;#,##0.00\)"/>
    <numFmt numFmtId="196" formatCode="_(&quot;R$&quot;* #,##0_);_(&quot;R$&quot;* \(#,##0\);_(&quot;R$&quot;* &quot;-&quot;_);_(@_)"/>
    <numFmt numFmtId="197" formatCode="_(&quot;R$&quot;* #,##0.00_);_(&quot;R$&quot;* \(#,##0.00\);_(&quot;R$&quot;* &quot;-&quot;??_);_(@_)"/>
    <numFmt numFmtId="198" formatCode="0_);[Red]\(0\)"/>
    <numFmt numFmtId="199" formatCode="#,##0.0"/>
    <numFmt numFmtId="200" formatCode="mmm\-yy"/>
    <numFmt numFmtId="201" formatCode="d/m"/>
    <numFmt numFmtId="202" formatCode="d/m/yy"/>
    <numFmt numFmtId="203" formatCode="mmmm\-yy"/>
    <numFmt numFmtId="204" formatCode="d\-mmm"/>
    <numFmt numFmtId="205" formatCode="0.0"/>
    <numFmt numFmtId="206" formatCode="0.000"/>
    <numFmt numFmtId="207" formatCode="\ @"/>
    <numFmt numFmtId="208" formatCode="\ \ \ \ @"/>
    <numFmt numFmtId="209" formatCode="\ \ \ \ \ @"/>
    <numFmt numFmtId="210" formatCode="\ \ \ \ \ \ \ \ \ \ \ \ \ \ \ @"/>
    <numFmt numFmtId="211" formatCode="0.000%"/>
    <numFmt numFmtId="212" formatCode="[$-416]dddd\,\ d&quot; de &quot;mmmm&quot; de &quot;yyyy"/>
    <numFmt numFmtId="213" formatCode="00000"/>
    <numFmt numFmtId="214" formatCode="0&quot;.&quot;0&quot;.&quot;0&quot;.&quot;0&quot;.&quot;00&quot;.&quot;0&quot;.&quot;0"/>
    <numFmt numFmtId="215" formatCode="#,##0.00_ ;\-#,##0.00\ "/>
    <numFmt numFmtId="216" formatCode="_(* #,##0_);_(* \(#,##0\);_(* &quot;-&quot;??_);_(@_)"/>
    <numFmt numFmtId="217" formatCode="&quot;Sim&quot;;&quot;Sim&quot;;&quot;Não&quot;"/>
    <numFmt numFmtId="218" formatCode="&quot;Verdadeiro&quot;;&quot;Verdadeiro&quot;;&quot;Falso&quot;"/>
    <numFmt numFmtId="219" formatCode="&quot;Ativar&quot;;&quot;Ativar&quot;;&quot;Desativar&quot;"/>
    <numFmt numFmtId="220" formatCode="[$€-2]\ #,##0.00_);[Red]\([$€-2]\ #,##0.00\)"/>
    <numFmt numFmtId="221" formatCode="0&quot;.&quot;0&quot;.&quot;0&quot;.&quot;0&quot;.&quot;0&quot;.&quot;00&quot;.&quot;00"/>
    <numFmt numFmtId="222" formatCode="&quot;Ativado&quot;;&quot;Ativado&quot;;&quot;Desativado&quot;"/>
  </numFmts>
  <fonts count="90">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0.5"/>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9"/>
      <name val="Arial"/>
      <family val="2"/>
    </font>
    <font>
      <sz val="11"/>
      <color indexed="8"/>
      <name val="Arial"/>
      <family val="0"/>
    </font>
    <font>
      <i/>
      <sz val="11"/>
      <color indexed="8"/>
      <name val="Calibri"/>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right/>
      <top style="thin"/>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dashed"/>
      <right style="thin"/>
      <top style="thin"/>
      <bottom>
        <color indexed="63"/>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dashed"/>
      <right style="thin"/>
      <top>
        <color indexed="63"/>
      </top>
      <bottom>
        <color indexed="63"/>
      </bottom>
    </border>
    <border>
      <left style="thin"/>
      <right style="thin"/>
      <top style="thin"/>
      <bottom style="thin">
        <color indexed="9"/>
      </bottom>
    </border>
    <border>
      <left>
        <color indexed="63"/>
      </left>
      <right style="thin"/>
      <top style="thin"/>
      <bottom style="thin">
        <color indexed="9"/>
      </bottom>
    </border>
    <border>
      <left>
        <color indexed="63"/>
      </left>
      <right>
        <color indexed="63"/>
      </right>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color indexed="63"/>
      </top>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8"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9" fillId="30" borderId="0" applyNumberFormat="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80" fillId="31" borderId="0" applyNumberFormat="0" applyBorder="0" applyAlignment="0" applyProtection="0"/>
    <xf numFmtId="0" fontId="72" fillId="0" borderId="0">
      <alignment/>
      <protection/>
    </xf>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81" fillId="21" borderId="5" applyNumberFormat="0" applyAlignment="0" applyProtection="0"/>
    <xf numFmtId="183"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185" fontId="0" fillId="0" borderId="0" applyFont="0" applyFill="0" applyBorder="0" applyAlignment="0" applyProtection="0"/>
  </cellStyleXfs>
  <cellXfs count="782">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3"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8" fontId="10" fillId="34" borderId="10" xfId="0" applyNumberFormat="1" applyFont="1" applyFill="1" applyBorder="1" applyAlignment="1" applyProtection="1">
      <alignment horizontal="center"/>
      <protection locked="0"/>
    </xf>
    <xf numFmtId="198"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3"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85"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3" applyNumberFormat="1" applyFont="1" applyFill="1" applyBorder="1" applyAlignment="1">
      <alignment/>
    </xf>
    <xf numFmtId="4" fontId="17" fillId="33" borderId="0" xfId="53"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81" fontId="0" fillId="0" borderId="18" xfId="0" applyNumberFormat="1" applyFont="1" applyFill="1" applyBorder="1" applyAlignment="1">
      <alignment horizontal="left"/>
    </xf>
    <xf numFmtId="49" fontId="0"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16" fillId="0" borderId="0" xfId="0" applyFont="1" applyAlignment="1">
      <alignment/>
    </xf>
    <xf numFmtId="49" fontId="15" fillId="0" borderId="0" xfId="0" applyNumberFormat="1" applyFont="1" applyAlignment="1">
      <alignment/>
    </xf>
    <xf numFmtId="185"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85" fontId="6" fillId="0" borderId="15" xfId="0" applyNumberFormat="1" applyFont="1" applyFill="1" applyBorder="1" applyAlignment="1" applyProtection="1">
      <alignment horizontal="right"/>
      <protection locked="0"/>
    </xf>
    <xf numFmtId="185" fontId="17" fillId="0" borderId="15" xfId="0" applyNumberFormat="1" applyFont="1" applyBorder="1" applyAlignment="1">
      <alignment/>
    </xf>
    <xf numFmtId="0" fontId="17" fillId="0" borderId="15" xfId="0" applyFont="1" applyBorder="1" applyAlignment="1">
      <alignment/>
    </xf>
    <xf numFmtId="0" fontId="20"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1" fillId="35" borderId="24"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0" fillId="35" borderId="23" xfId="0" applyFill="1" applyBorder="1" applyAlignment="1">
      <alignment vertical="top" wrapText="1"/>
    </xf>
    <xf numFmtId="0" fontId="21" fillId="35" borderId="20" xfId="0" applyFont="1" applyFill="1" applyBorder="1" applyAlignment="1">
      <alignment vertical="top" wrapText="1"/>
    </xf>
    <xf numFmtId="0" fontId="21" fillId="35" borderId="23" xfId="0" applyFont="1" applyFill="1" applyBorder="1" applyAlignment="1">
      <alignment vertical="top" wrapText="1"/>
    </xf>
    <xf numFmtId="0" fontId="20" fillId="0" borderId="23" xfId="0" applyFont="1" applyBorder="1" applyAlignment="1">
      <alignment horizontal="center" vertical="top" wrapText="1"/>
    </xf>
    <xf numFmtId="0" fontId="15" fillId="0" borderId="0" xfId="0" applyFont="1" applyAlignment="1">
      <alignment/>
    </xf>
    <xf numFmtId="0" fontId="0" fillId="0" borderId="23" xfId="0" applyFont="1" applyBorder="1" applyAlignment="1">
      <alignment horizontal="center" wrapText="1"/>
    </xf>
    <xf numFmtId="0" fontId="5" fillId="0" borderId="0" xfId="0" applyFont="1" applyFill="1" applyAlignment="1">
      <alignment/>
    </xf>
    <xf numFmtId="0" fontId="5" fillId="0" borderId="16" xfId="0" applyFont="1" applyFill="1" applyBorder="1" applyAlignment="1">
      <alignment horizontal="left"/>
    </xf>
    <xf numFmtId="0" fontId="0" fillId="0" borderId="0" xfId="0" applyFont="1" applyFill="1" applyBorder="1" applyAlignment="1">
      <alignment/>
    </xf>
    <xf numFmtId="171" fontId="0" fillId="0" borderId="15"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0" fontId="29" fillId="0" borderId="0" xfId="0" applyFont="1" applyFill="1" applyAlignment="1">
      <alignment/>
    </xf>
    <xf numFmtId="185" fontId="2" fillId="0" borderId="15"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8" fontId="1" fillId="34" borderId="10" xfId="0" applyNumberFormat="1" applyFont="1" applyFill="1" applyBorder="1" applyAlignment="1">
      <alignment horizontal="center" vertical="center"/>
    </xf>
    <xf numFmtId="198"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2" fillId="0" borderId="0" xfId="0" applyNumberFormat="1" applyFont="1" applyFill="1" applyAlignment="1">
      <alignment/>
    </xf>
    <xf numFmtId="0" fontId="9" fillId="36" borderId="25" xfId="0" applyFont="1" applyFill="1" applyBorder="1" applyAlignment="1">
      <alignment/>
    </xf>
    <xf numFmtId="185" fontId="9" fillId="36" borderId="15" xfId="0" applyNumberFormat="1" applyFont="1" applyFill="1" applyBorder="1" applyAlignment="1">
      <alignment/>
    </xf>
    <xf numFmtId="0" fontId="0" fillId="0" borderId="0" xfId="0" applyFont="1" applyAlignment="1">
      <alignment/>
    </xf>
    <xf numFmtId="0" fontId="0" fillId="0" borderId="0" xfId="0" applyFont="1" applyAlignment="1">
      <alignment wrapText="1"/>
    </xf>
    <xf numFmtId="171" fontId="0" fillId="0" borderId="17" xfId="0" applyNumberFormat="1" applyFont="1" applyFill="1" applyBorder="1" applyAlignment="1">
      <alignment horizontal="right" wrapText="1"/>
    </xf>
    <xf numFmtId="171" fontId="0" fillId="0" borderId="17" xfId="0" applyNumberFormat="1" applyFont="1" applyFill="1" applyBorder="1" applyAlignment="1" applyProtection="1">
      <alignment horizontal="right"/>
      <protection locked="0"/>
    </xf>
    <xf numFmtId="0" fontId="33" fillId="37" borderId="26" xfId="0" applyFont="1" applyFill="1" applyBorder="1" applyAlignment="1" applyProtection="1">
      <alignment horizontal="center" vertical="center"/>
      <protection/>
    </xf>
    <xf numFmtId="0" fontId="33" fillId="37" borderId="15" xfId="0" applyFont="1" applyFill="1" applyBorder="1" applyAlignment="1" applyProtection="1">
      <alignment horizontal="center" vertical="center"/>
      <protection/>
    </xf>
    <xf numFmtId="49" fontId="33" fillId="37" borderId="26" xfId="0" applyNumberFormat="1" applyFont="1" applyFill="1" applyBorder="1" applyAlignment="1" applyProtection="1">
      <alignment vertical="center"/>
      <protection/>
    </xf>
    <xf numFmtId="171" fontId="33" fillId="37" borderId="15" xfId="0" applyNumberFormat="1" applyFont="1" applyFill="1" applyBorder="1" applyAlignment="1" applyProtection="1">
      <alignment vertical="center"/>
      <protection/>
    </xf>
    <xf numFmtId="49" fontId="33" fillId="37" borderId="26" xfId="0" applyNumberFormat="1" applyFont="1" applyFill="1" applyBorder="1" applyAlignment="1" applyProtection="1">
      <alignment horizontal="left" vertical="center"/>
      <protection/>
    </xf>
    <xf numFmtId="171" fontId="33" fillId="37" borderId="15" xfId="0" applyNumberFormat="1" applyFont="1" applyFill="1" applyBorder="1" applyAlignment="1" applyProtection="1">
      <alignment horizontal="left" vertical="center"/>
      <protection/>
    </xf>
    <xf numFmtId="49" fontId="34" fillId="37" borderId="0" xfId="0" applyNumberFormat="1" applyFont="1" applyFill="1" applyBorder="1" applyAlignment="1" applyProtection="1">
      <alignment horizontal="left" vertical="center"/>
      <protection/>
    </xf>
    <xf numFmtId="171" fontId="34" fillId="37" borderId="15" xfId="0" applyNumberFormat="1" applyFont="1" applyFill="1" applyBorder="1" applyAlignment="1" applyProtection="1">
      <alignment horizontal="left" vertical="center"/>
      <protection/>
    </xf>
    <xf numFmtId="0" fontId="34" fillId="37" borderId="0" xfId="0" applyFont="1" applyFill="1" applyAlignment="1" applyProtection="1">
      <alignment horizontal="left" vertical="center" indent="1"/>
      <protection/>
    </xf>
    <xf numFmtId="171" fontId="34" fillId="37" borderId="15" xfId="0" applyNumberFormat="1" applyFont="1" applyFill="1" applyBorder="1" applyAlignment="1" applyProtection="1">
      <alignment horizontal="left" vertical="center" indent="1"/>
      <protection/>
    </xf>
    <xf numFmtId="49" fontId="34" fillId="37" borderId="0" xfId="0" applyNumberFormat="1" applyFont="1" applyFill="1" applyBorder="1" applyAlignment="1" applyProtection="1">
      <alignment horizontal="left" vertical="center" indent="1"/>
      <protection/>
    </xf>
    <xf numFmtId="0" fontId="0" fillId="0" borderId="0" xfId="0" applyFont="1" applyFill="1" applyBorder="1" applyAlignment="1">
      <alignment/>
    </xf>
    <xf numFmtId="0" fontId="0" fillId="0" borderId="0" xfId="0" applyFont="1" applyFill="1" applyAlignment="1">
      <alignment horizontal="left" indent="1"/>
    </xf>
    <xf numFmtId="0" fontId="0" fillId="0" borderId="0" xfId="0" applyNumberFormat="1" applyFont="1" applyFill="1" applyBorder="1" applyAlignment="1">
      <alignment wrapText="1"/>
    </xf>
    <xf numFmtId="0" fontId="0" fillId="0" borderId="17" xfId="0" applyNumberFormat="1" applyFont="1" applyFill="1" applyBorder="1" applyAlignment="1">
      <alignment wrapText="1"/>
    </xf>
    <xf numFmtId="0" fontId="0" fillId="0" borderId="0" xfId="0" applyFont="1" applyFill="1" applyAlignment="1">
      <alignment horizontal="left" indent="2"/>
    </xf>
    <xf numFmtId="0" fontId="0" fillId="0" borderId="0" xfId="0" applyNumberFormat="1" applyFont="1" applyFill="1" applyBorder="1" applyAlignment="1">
      <alignment/>
    </xf>
    <xf numFmtId="0" fontId="0" fillId="0" borderId="0" xfId="0" applyFont="1" applyFill="1" applyAlignment="1">
      <alignment horizontal="left" indent="3"/>
    </xf>
    <xf numFmtId="0" fontId="0" fillId="0" borderId="0" xfId="0" applyNumberFormat="1" applyFont="1" applyFill="1" applyAlignment="1">
      <alignment/>
    </xf>
    <xf numFmtId="0" fontId="0" fillId="0" borderId="0" xfId="0" applyFont="1" applyFill="1" applyAlignment="1">
      <alignment vertical="center"/>
    </xf>
    <xf numFmtId="49" fontId="0" fillId="0" borderId="0" xfId="0" applyNumberFormat="1" applyFont="1" applyFill="1" applyAlignment="1">
      <alignment horizontal="left" vertical="center" indent="1"/>
    </xf>
    <xf numFmtId="49" fontId="0" fillId="0" borderId="0" xfId="0" applyNumberFormat="1" applyFont="1" applyFill="1" applyAlignment="1">
      <alignment vertical="center"/>
    </xf>
    <xf numFmtId="49" fontId="0" fillId="0" borderId="0" xfId="0" applyNumberFormat="1" applyFont="1" applyFill="1" applyAlignment="1">
      <alignment horizontal="left" vertical="center" indent="2"/>
    </xf>
    <xf numFmtId="49" fontId="0" fillId="0" borderId="26" xfId="0" applyNumberFormat="1" applyFont="1" applyFill="1" applyBorder="1" applyAlignment="1">
      <alignment vertical="center"/>
    </xf>
    <xf numFmtId="37" fontId="5" fillId="0" borderId="26" xfId="0" applyNumberFormat="1" applyFont="1" applyFill="1" applyBorder="1" applyAlignment="1">
      <alignment/>
    </xf>
    <xf numFmtId="0" fontId="0" fillId="0" borderId="27" xfId="0" applyFont="1" applyFill="1" applyBorder="1" applyAlignment="1">
      <alignment vertical="center" wrapText="1"/>
    </xf>
    <xf numFmtId="49" fontId="5" fillId="0" borderId="0" xfId="0" applyNumberFormat="1" applyFont="1" applyFill="1" applyBorder="1" applyAlignment="1">
      <alignment horizontal="justify" vertical="center"/>
    </xf>
    <xf numFmtId="37"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37" fontId="0" fillId="0" borderId="0" xfId="0" applyNumberFormat="1" applyFont="1" applyFill="1" applyBorder="1" applyAlignment="1">
      <alignment vertical="center"/>
    </xf>
    <xf numFmtId="37" fontId="0" fillId="0" borderId="0" xfId="0" applyNumberFormat="1"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vertical="top"/>
    </xf>
    <xf numFmtId="37" fontId="0" fillId="0" borderId="0" xfId="0" applyNumberFormat="1" applyFont="1" applyFill="1" applyBorder="1" applyAlignment="1">
      <alignment vertical="center" wrapText="1"/>
    </xf>
    <xf numFmtId="0" fontId="0" fillId="0" borderId="28" xfId="0" applyFont="1" applyFill="1" applyBorder="1" applyAlignment="1">
      <alignment/>
    </xf>
    <xf numFmtId="37" fontId="0" fillId="0" borderId="16" xfId="0" applyNumberFormat="1" applyFont="1" applyFill="1" applyBorder="1" applyAlignment="1">
      <alignment horizontal="center" vertical="center"/>
    </xf>
    <xf numFmtId="37" fontId="0" fillId="0" borderId="2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0" fontId="0" fillId="0" borderId="15" xfId="0" applyFont="1" applyFill="1" applyBorder="1" applyAlignment="1">
      <alignment/>
    </xf>
    <xf numFmtId="0" fontId="0" fillId="0" borderId="15" xfId="0" applyFont="1" applyFill="1" applyBorder="1" applyAlignment="1">
      <alignment horizontal="center"/>
    </xf>
    <xf numFmtId="0" fontId="0" fillId="0" borderId="15" xfId="0" applyNumberFormat="1" applyFont="1" applyFill="1" applyBorder="1" applyAlignment="1">
      <alignment wrapText="1"/>
    </xf>
    <xf numFmtId="0" fontId="0" fillId="0" borderId="15" xfId="0" applyNumberFormat="1" applyFont="1" applyFill="1" applyBorder="1" applyAlignment="1">
      <alignment/>
    </xf>
    <xf numFmtId="0" fontId="0" fillId="0" borderId="15" xfId="0" applyFont="1" applyFill="1" applyBorder="1" applyAlignment="1">
      <alignment/>
    </xf>
    <xf numFmtId="37" fontId="0" fillId="0" borderId="27" xfId="0" applyNumberFormat="1" applyFont="1" applyFill="1" applyBorder="1" applyAlignment="1">
      <alignment horizontal="center" vertical="center"/>
    </xf>
    <xf numFmtId="37" fontId="0" fillId="0" borderId="25"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0" fontId="5" fillId="38" borderId="27" xfId="0" applyFont="1" applyFill="1" applyBorder="1" applyAlignment="1">
      <alignment horizontal="center" wrapText="1"/>
    </xf>
    <xf numFmtId="0" fontId="36" fillId="38" borderId="0" xfId="0" applyFont="1" applyFill="1" applyBorder="1" applyAlignment="1">
      <alignment horizontal="center" wrapText="1"/>
    </xf>
    <xf numFmtId="1" fontId="33" fillId="36" borderId="25" xfId="64" applyNumberFormat="1" applyFont="1" applyFill="1" applyBorder="1" applyAlignment="1" applyProtection="1">
      <alignment horizontal="center" vertical="center" wrapText="1"/>
      <protection/>
    </xf>
    <xf numFmtId="0" fontId="34" fillId="36" borderId="0" xfId="64" applyNumberFormat="1" applyFont="1" applyFill="1" applyBorder="1" applyAlignment="1" applyProtection="1">
      <alignment horizontal="left" vertical="center"/>
      <protection/>
    </xf>
    <xf numFmtId="0" fontId="34" fillId="36" borderId="0" xfId="64" applyNumberFormat="1" applyFont="1" applyFill="1" applyAlignment="1" applyProtection="1">
      <alignment horizontal="left" vertical="center"/>
      <protection/>
    </xf>
    <xf numFmtId="49" fontId="0" fillId="36" borderId="0" xfId="0" applyNumberFormat="1" applyFont="1" applyFill="1" applyAlignment="1" applyProtection="1">
      <alignment vertical="center"/>
      <protection/>
    </xf>
    <xf numFmtId="216" fontId="0" fillId="36" borderId="0" xfId="64" applyNumberFormat="1" applyFont="1" applyFill="1" applyAlignment="1" applyProtection="1">
      <alignment vertical="center"/>
      <protection/>
    </xf>
    <xf numFmtId="171" fontId="34" fillId="36" borderId="30" xfId="64" applyNumberFormat="1" applyFont="1" applyFill="1" applyBorder="1" applyAlignment="1" applyProtection="1">
      <alignment horizontal="left" vertical="center" indent="2"/>
      <protection/>
    </xf>
    <xf numFmtId="0" fontId="0" fillId="0" borderId="0" xfId="0" applyFont="1" applyAlignment="1">
      <alignment horizontal="center"/>
    </xf>
    <xf numFmtId="171" fontId="34" fillId="36" borderId="31" xfId="64" applyNumberFormat="1" applyFont="1" applyFill="1" applyBorder="1" applyAlignment="1" applyProtection="1">
      <alignment horizontal="left" vertical="center" indent="2"/>
      <protection/>
    </xf>
    <xf numFmtId="171" fontId="34" fillId="36" borderId="32" xfId="64" applyNumberFormat="1" applyFont="1" applyFill="1" applyBorder="1" applyAlignment="1" applyProtection="1">
      <alignment horizontal="left" vertical="center" indent="2"/>
      <protection/>
    </xf>
    <xf numFmtId="0" fontId="34" fillId="36" borderId="33" xfId="64" applyNumberFormat="1" applyFont="1" applyFill="1" applyBorder="1" applyAlignment="1" applyProtection="1">
      <alignment horizontal="left" vertical="center"/>
      <protection/>
    </xf>
    <xf numFmtId="0" fontId="34" fillId="36" borderId="34" xfId="64" applyNumberFormat="1" applyFont="1" applyFill="1" applyBorder="1" applyAlignment="1" applyProtection="1">
      <alignment horizontal="left" vertical="center"/>
      <protection/>
    </xf>
    <xf numFmtId="0" fontId="34" fillId="36" borderId="35" xfId="6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36" xfId="0" applyNumberFormat="1" applyFont="1" applyBorder="1" applyAlignment="1">
      <alignment horizontal="justify" wrapText="1"/>
    </xf>
    <xf numFmtId="0" fontId="17" fillId="0" borderId="37" xfId="0" applyFont="1" applyBorder="1" applyAlignment="1">
      <alignment horizontal="justify" wrapText="1"/>
    </xf>
    <xf numFmtId="0" fontId="17" fillId="0" borderId="38" xfId="0" applyFont="1" applyBorder="1" applyAlignment="1">
      <alignment horizontal="justify" wrapText="1"/>
    </xf>
    <xf numFmtId="0" fontId="17" fillId="0" borderId="18" xfId="0" applyFont="1" applyFill="1" applyBorder="1" applyAlignment="1">
      <alignment wrapText="1"/>
    </xf>
    <xf numFmtId="0" fontId="17" fillId="0" borderId="0" xfId="0" applyFont="1" applyAlignment="1">
      <alignment wrapText="1"/>
    </xf>
    <xf numFmtId="171" fontId="0" fillId="0" borderId="0" xfId="0" applyNumberFormat="1" applyAlignment="1">
      <alignment/>
    </xf>
    <xf numFmtId="0" fontId="0" fillId="0" borderId="0" xfId="0" applyAlignment="1">
      <alignment/>
    </xf>
    <xf numFmtId="181" fontId="17" fillId="0" borderId="18" xfId="0" applyNumberFormat="1" applyFont="1" applyBorder="1" applyAlignment="1">
      <alignment horizontal="right" wrapText="1"/>
    </xf>
    <xf numFmtId="0" fontId="17" fillId="0" borderId="25" xfId="0" applyFont="1" applyBorder="1" applyAlignment="1">
      <alignment horizontal="center" vertical="center" wrapText="1"/>
    </xf>
    <xf numFmtId="0" fontId="5" fillId="0" borderId="25" xfId="0" applyFont="1" applyFill="1" applyBorder="1" applyAlignment="1">
      <alignment vertical="center"/>
    </xf>
    <xf numFmtId="0" fontId="5" fillId="0" borderId="26" xfId="0" applyNumberFormat="1" applyFont="1" applyFill="1" applyBorder="1" applyAlignment="1">
      <alignment/>
    </xf>
    <xf numFmtId="0" fontId="5" fillId="0" borderId="39" xfId="0" applyNumberFormat="1" applyFont="1" applyFill="1" applyBorder="1" applyAlignment="1">
      <alignment/>
    </xf>
    <xf numFmtId="0" fontId="0" fillId="0" borderId="26" xfId="0" applyNumberFormat="1" applyFont="1" applyFill="1" applyBorder="1" applyAlignment="1">
      <alignment wrapText="1"/>
    </xf>
    <xf numFmtId="0" fontId="0" fillId="0" borderId="40" xfId="0" applyNumberFormat="1" applyFont="1" applyFill="1" applyBorder="1" applyAlignment="1">
      <alignment wrapText="1"/>
    </xf>
    <xf numFmtId="0" fontId="0" fillId="0" borderId="39" xfId="0" applyNumberFormat="1" applyFont="1" applyFill="1" applyBorder="1" applyAlignment="1">
      <alignment wrapText="1"/>
    </xf>
    <xf numFmtId="37" fontId="5" fillId="0" borderId="40" xfId="0" applyNumberFormat="1" applyFont="1" applyFill="1" applyBorder="1" applyAlignment="1">
      <alignment vertical="center"/>
    </xf>
    <xf numFmtId="49" fontId="5" fillId="0" borderId="26" xfId="0" applyNumberFormat="1" applyFont="1" applyFill="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37" fontId="5" fillId="0" borderId="39" xfId="0" applyNumberFormat="1" applyFont="1" applyFill="1" applyBorder="1" applyAlignment="1">
      <alignment/>
    </xf>
    <xf numFmtId="49" fontId="5" fillId="0" borderId="40" xfId="0" applyNumberFormat="1" applyFont="1" applyFill="1" applyBorder="1" applyAlignment="1">
      <alignment horizontal="justify" vertical="center"/>
    </xf>
    <xf numFmtId="0" fontId="5" fillId="0" borderId="40" xfId="0" applyFont="1" applyFill="1" applyBorder="1" applyAlignment="1">
      <alignment vertical="center"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0" xfId="0" applyFont="1" applyFill="1" applyBorder="1" applyAlignment="1">
      <alignment horizontal="right" vertical="top" wrapText="1"/>
    </xf>
    <xf numFmtId="0" fontId="0" fillId="0" borderId="17" xfId="0" applyFont="1" applyFill="1" applyBorder="1" applyAlignment="1">
      <alignment horizontal="left" vertical="top" wrapText="1"/>
    </xf>
    <xf numFmtId="0" fontId="0" fillId="0" borderId="25" xfId="0" applyFont="1" applyFill="1" applyBorder="1" applyAlignment="1">
      <alignment horizontal="justify" vertical="top" wrapText="1"/>
    </xf>
    <xf numFmtId="0" fontId="0" fillId="0" borderId="27" xfId="0" applyFont="1" applyFill="1" applyBorder="1" applyAlignment="1">
      <alignment horizontal="right" vertical="top" wrapText="1"/>
    </xf>
    <xf numFmtId="0" fontId="0" fillId="0" borderId="0" xfId="0" applyFont="1" applyFill="1" applyBorder="1" applyAlignment="1">
      <alignment horizontal="center" vertical="top" wrapText="1"/>
    </xf>
    <xf numFmtId="0" fontId="5" fillId="0" borderId="16" xfId="0" applyFont="1" applyFill="1" applyBorder="1" applyAlignment="1">
      <alignment vertical="center" wrapText="1"/>
    </xf>
    <xf numFmtId="0" fontId="0" fillId="0" borderId="16"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27" xfId="0" applyFont="1" applyFill="1" applyBorder="1" applyAlignment="1">
      <alignment wrapText="1"/>
    </xf>
    <xf numFmtId="0" fontId="5" fillId="0" borderId="15" xfId="0" applyFont="1" applyFill="1" applyBorder="1" applyAlignment="1">
      <alignment vertical="center"/>
    </xf>
    <xf numFmtId="0" fontId="5" fillId="0" borderId="26" xfId="0" applyNumberFormat="1" applyFont="1" applyFill="1" applyBorder="1" applyAlignment="1">
      <alignment vertical="center"/>
    </xf>
    <xf numFmtId="0" fontId="5" fillId="0" borderId="39" xfId="0" applyNumberFormat="1" applyFont="1" applyFill="1" applyBorder="1" applyAlignment="1">
      <alignment vertical="center"/>
    </xf>
    <xf numFmtId="0" fontId="0" fillId="0" borderId="26" xfId="0" applyNumberFormat="1" applyFont="1" applyFill="1" applyBorder="1" applyAlignment="1">
      <alignment vertical="center" wrapText="1"/>
    </xf>
    <xf numFmtId="0" fontId="0" fillId="0" borderId="40" xfId="0" applyNumberFormat="1" applyFont="1" applyFill="1" applyBorder="1" applyAlignment="1">
      <alignment vertical="center" wrapText="1"/>
    </xf>
    <xf numFmtId="0" fontId="0" fillId="0" borderId="39" xfId="0" applyNumberFormat="1" applyFont="1" applyFill="1" applyBorder="1" applyAlignment="1">
      <alignment vertical="center" wrapText="1"/>
    </xf>
    <xf numFmtId="0" fontId="5" fillId="0" borderId="29" xfId="0" applyFont="1" applyFill="1" applyBorder="1" applyAlignment="1">
      <alignment vertical="center"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8" xfId="0" applyFont="1" applyFill="1" applyBorder="1" applyAlignment="1">
      <alignment horizontal="right" vertical="top" wrapText="1"/>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wrapText="1"/>
    </xf>
    <xf numFmtId="0" fontId="0" fillId="0" borderId="15" xfId="0" applyFont="1" applyFill="1" applyBorder="1" applyAlignment="1">
      <alignment horizontal="right" vertical="top" wrapText="1"/>
    </xf>
    <xf numFmtId="0" fontId="5" fillId="36" borderId="16" xfId="0" applyNumberFormat="1" applyFont="1" applyFill="1" applyBorder="1" applyAlignment="1" applyProtection="1">
      <alignment horizontal="center" vertical="center"/>
      <protection locked="0"/>
    </xf>
    <xf numFmtId="198" fontId="5" fillId="36" borderId="41" xfId="0" applyNumberFormat="1" applyFont="1" applyFill="1" applyBorder="1" applyAlignment="1">
      <alignment horizontal="center" vertical="center"/>
    </xf>
    <xf numFmtId="198" fontId="38" fillId="36" borderId="42" xfId="0" applyNumberFormat="1" applyFont="1" applyFill="1" applyBorder="1" applyAlignment="1" applyProtection="1">
      <alignment horizontal="center"/>
      <protection locked="0"/>
    </xf>
    <xf numFmtId="198" fontId="38" fillId="36" borderId="43" xfId="0" applyNumberFormat="1" applyFont="1" applyFill="1" applyBorder="1" applyAlignment="1" applyProtection="1">
      <alignment horizontal="center"/>
      <protection locked="0"/>
    </xf>
    <xf numFmtId="198" fontId="38" fillId="36" borderId="44" xfId="0" applyNumberFormat="1" applyFont="1" applyFill="1" applyBorder="1" applyAlignment="1" applyProtection="1">
      <alignment horizontal="center"/>
      <protection locked="0"/>
    </xf>
    <xf numFmtId="198" fontId="38" fillId="36" borderId="45" xfId="0" applyNumberFormat="1" applyFont="1" applyFill="1" applyBorder="1" applyAlignment="1" applyProtection="1">
      <alignment horizontal="center"/>
      <protection locked="0"/>
    </xf>
    <xf numFmtId="0" fontId="5" fillId="36" borderId="0" xfId="0" applyNumberFormat="1" applyFont="1" applyFill="1" applyBorder="1" applyAlignment="1" applyProtection="1">
      <alignment horizontal="center" vertical="center"/>
      <protection locked="0"/>
    </xf>
    <xf numFmtId="197" fontId="5" fillId="36" borderId="46" xfId="47" applyFont="1" applyFill="1" applyBorder="1" applyAlignment="1">
      <alignment horizontal="center" vertical="center"/>
    </xf>
    <xf numFmtId="198" fontId="5" fillId="36" borderId="11" xfId="0" applyNumberFormat="1" applyFont="1" applyFill="1" applyBorder="1" applyAlignment="1">
      <alignment horizontal="center" vertical="center"/>
    </xf>
    <xf numFmtId="0" fontId="5" fillId="36" borderId="35" xfId="51" applyFont="1" applyFill="1" applyBorder="1" applyAlignment="1">
      <alignment vertical="center"/>
      <protection/>
    </xf>
    <xf numFmtId="0" fontId="5" fillId="36" borderId="35" xfId="51" applyNumberFormat="1" applyFont="1" applyFill="1" applyBorder="1" applyAlignment="1">
      <alignment vertical="center" wrapText="1"/>
      <protection/>
    </xf>
    <xf numFmtId="171" fontId="38" fillId="36" borderId="10" xfId="0" applyNumberFormat="1" applyFont="1" applyFill="1" applyBorder="1" applyAlignment="1" applyProtection="1">
      <alignment horizontal="right"/>
      <protection locked="0"/>
    </xf>
    <xf numFmtId="0" fontId="5" fillId="36" borderId="15" xfId="51" applyFont="1" applyFill="1" applyBorder="1" applyAlignment="1">
      <alignment vertical="center"/>
      <protection/>
    </xf>
    <xf numFmtId="0" fontId="5" fillId="36" borderId="15" xfId="51" applyNumberFormat="1" applyFont="1" applyFill="1" applyBorder="1" applyAlignment="1">
      <alignment vertical="center" wrapText="1"/>
      <protection/>
    </xf>
    <xf numFmtId="171" fontId="5" fillId="36" borderId="15" xfId="0" applyNumberFormat="1" applyFont="1" applyFill="1" applyBorder="1" applyAlignment="1">
      <alignment/>
    </xf>
    <xf numFmtId="0" fontId="0" fillId="36" borderId="15" xfId="51" applyFont="1" applyFill="1" applyBorder="1" applyAlignment="1">
      <alignment vertical="center"/>
      <protection/>
    </xf>
    <xf numFmtId="0" fontId="0" fillId="36" borderId="15" xfId="51" applyNumberFormat="1" applyFont="1" applyFill="1" applyBorder="1" applyAlignment="1">
      <alignment vertical="center" wrapText="1"/>
      <protection/>
    </xf>
    <xf numFmtId="171" fontId="0" fillId="36" borderId="15" xfId="0" applyNumberFormat="1" applyFont="1" applyFill="1" applyBorder="1" applyAlignment="1">
      <alignment/>
    </xf>
    <xf numFmtId="214" fontId="0" fillId="36" borderId="15" xfId="51" applyNumberFormat="1" applyFont="1" applyFill="1" applyBorder="1" applyAlignment="1">
      <alignment vertical="center" wrapText="1"/>
      <protection/>
    </xf>
    <xf numFmtId="0" fontId="0" fillId="36" borderId="40" xfId="51" applyFont="1" applyFill="1" applyBorder="1" applyAlignment="1">
      <alignment vertical="center"/>
      <protection/>
    </xf>
    <xf numFmtId="185" fontId="0" fillId="36" borderId="15" xfId="0" applyNumberFormat="1" applyFont="1" applyFill="1" applyBorder="1" applyAlignment="1">
      <alignment/>
    </xf>
    <xf numFmtId="185" fontId="5" fillId="36" borderId="15" xfId="0" applyNumberFormat="1" applyFont="1" applyFill="1" applyBorder="1" applyAlignment="1">
      <alignment/>
    </xf>
    <xf numFmtId="0" fontId="0" fillId="36" borderId="0" xfId="0" applyFont="1" applyFill="1" applyBorder="1" applyAlignment="1">
      <alignment/>
    </xf>
    <xf numFmtId="0" fontId="0" fillId="36" borderId="17" xfId="0" applyFont="1" applyFill="1" applyBorder="1" applyAlignment="1">
      <alignment/>
    </xf>
    <xf numFmtId="0" fontId="5" fillId="36" borderId="27" xfId="0" applyFont="1" applyFill="1" applyBorder="1" applyAlignment="1">
      <alignment/>
    </xf>
    <xf numFmtId="0" fontId="5" fillId="36" borderId="25" xfId="0" applyFont="1" applyFill="1" applyBorder="1" applyAlignment="1">
      <alignment/>
    </xf>
    <xf numFmtId="0" fontId="1" fillId="36" borderId="30" xfId="0" applyFont="1" applyFill="1" applyBorder="1" applyAlignment="1">
      <alignment/>
    </xf>
    <xf numFmtId="0" fontId="1" fillId="36" borderId="17" xfId="0" applyFont="1" applyFill="1" applyBorder="1" applyAlignment="1">
      <alignment/>
    </xf>
    <xf numFmtId="185" fontId="1" fillId="36" borderId="15" xfId="0" applyNumberFormat="1" applyFont="1" applyFill="1" applyBorder="1" applyAlignment="1">
      <alignment/>
    </xf>
    <xf numFmtId="0" fontId="10" fillId="36" borderId="16" xfId="0" applyNumberFormat="1" applyFont="1" applyFill="1" applyBorder="1" applyAlignment="1" applyProtection="1">
      <alignment horizontal="center" vertical="center"/>
      <protection locked="0"/>
    </xf>
    <xf numFmtId="198" fontId="1" fillId="36" borderId="41" xfId="0" applyNumberFormat="1" applyFont="1" applyFill="1" applyBorder="1" applyAlignment="1">
      <alignment horizontal="center" vertical="center"/>
    </xf>
    <xf numFmtId="198" fontId="10" fillId="36" borderId="42" xfId="0" applyNumberFormat="1" applyFont="1" applyFill="1" applyBorder="1" applyAlignment="1" applyProtection="1">
      <alignment horizontal="center"/>
      <protection locked="0"/>
    </xf>
    <xf numFmtId="198" fontId="10" fillId="36" borderId="43" xfId="0" applyNumberFormat="1" applyFont="1" applyFill="1" applyBorder="1" applyAlignment="1" applyProtection="1">
      <alignment horizontal="center"/>
      <protection locked="0"/>
    </xf>
    <xf numFmtId="198" fontId="10" fillId="36" borderId="44" xfId="0" applyNumberFormat="1" applyFont="1" applyFill="1" applyBorder="1" applyAlignment="1" applyProtection="1">
      <alignment horizontal="center"/>
      <protection locked="0"/>
    </xf>
    <xf numFmtId="198" fontId="10" fillId="36" borderId="45" xfId="0" applyNumberFormat="1" applyFont="1" applyFill="1" applyBorder="1" applyAlignment="1" applyProtection="1">
      <alignment horizontal="center"/>
      <protection locked="0"/>
    </xf>
    <xf numFmtId="0" fontId="10" fillId="36" borderId="0" xfId="0" applyNumberFormat="1" applyFont="1" applyFill="1" applyBorder="1" applyAlignment="1" applyProtection="1">
      <alignment horizontal="center" vertical="center"/>
      <protection locked="0"/>
    </xf>
    <xf numFmtId="197" fontId="1" fillId="36" borderId="46" xfId="47" applyFont="1" applyFill="1" applyBorder="1" applyAlignment="1">
      <alignment horizontal="center" vertical="center"/>
    </xf>
    <xf numFmtId="198" fontId="1" fillId="36" borderId="10" xfId="0" applyNumberFormat="1" applyFont="1" applyFill="1" applyBorder="1" applyAlignment="1">
      <alignment horizontal="center" vertical="center"/>
    </xf>
    <xf numFmtId="198" fontId="1" fillId="36" borderId="11" xfId="0" applyNumberFormat="1" applyFont="1" applyFill="1" applyBorder="1" applyAlignment="1">
      <alignment horizontal="center" vertical="center"/>
    </xf>
    <xf numFmtId="0" fontId="2" fillId="36" borderId="30" xfId="0" applyFont="1" applyFill="1" applyBorder="1" applyAlignment="1">
      <alignment/>
    </xf>
    <xf numFmtId="0" fontId="2" fillId="36" borderId="34" xfId="0" applyFont="1" applyFill="1" applyBorder="1" applyAlignment="1">
      <alignment/>
    </xf>
    <xf numFmtId="185" fontId="2" fillId="36" borderId="15" xfId="0" applyNumberFormat="1" applyFont="1" applyFill="1" applyBorder="1" applyAlignment="1">
      <alignment/>
    </xf>
    <xf numFmtId="0" fontId="2" fillId="36" borderId="17" xfId="0" applyFont="1" applyFill="1" applyBorder="1" applyAlignment="1">
      <alignment/>
    </xf>
    <xf numFmtId="0" fontId="2" fillId="36" borderId="27" xfId="0" applyFont="1" applyFill="1" applyBorder="1" applyAlignment="1">
      <alignment/>
    </xf>
    <xf numFmtId="185" fontId="2" fillId="39" borderId="15" xfId="0" applyNumberFormat="1" applyFont="1" applyFill="1" applyBorder="1" applyAlignment="1">
      <alignment/>
    </xf>
    <xf numFmtId="3" fontId="6" fillId="36" borderId="15" xfId="0" applyNumberFormat="1" applyFont="1" applyFill="1" applyBorder="1" applyAlignment="1">
      <alignment horizontal="center"/>
    </xf>
    <xf numFmtId="0" fontId="6" fillId="36" borderId="15" xfId="0" applyFont="1" applyFill="1" applyBorder="1" applyAlignment="1">
      <alignment horizontal="center"/>
    </xf>
    <xf numFmtId="0" fontId="6" fillId="36" borderId="15" xfId="0" applyFont="1" applyFill="1" applyBorder="1" applyAlignment="1">
      <alignment/>
    </xf>
    <xf numFmtId="185" fontId="6" fillId="36" borderId="15" xfId="0" applyNumberFormat="1" applyFont="1" applyFill="1" applyBorder="1" applyAlignment="1">
      <alignment/>
    </xf>
    <xf numFmtId="185" fontId="17" fillId="36" borderId="15" xfId="0" applyNumberFormat="1" applyFont="1" applyFill="1" applyBorder="1" applyAlignment="1">
      <alignment/>
    </xf>
    <xf numFmtId="0" fontId="6" fillId="36" borderId="15" xfId="0" applyFont="1" applyFill="1" applyBorder="1" applyAlignment="1">
      <alignment horizontal="left" vertical="center" wrapText="1"/>
    </xf>
    <xf numFmtId="185" fontId="6" fillId="36" borderId="15" xfId="0" applyNumberFormat="1" applyFont="1" applyFill="1" applyBorder="1" applyAlignment="1">
      <alignment horizontal="right"/>
    </xf>
    <xf numFmtId="0" fontId="17" fillId="36" borderId="47" xfId="0" applyFont="1" applyFill="1" applyBorder="1" applyAlignment="1">
      <alignment horizontal="center" vertical="top" wrapText="1"/>
    </xf>
    <xf numFmtId="0" fontId="17" fillId="36" borderId="48" xfId="0" applyFont="1" applyFill="1" applyBorder="1" applyAlignment="1">
      <alignment horizontal="center" vertical="top" wrapText="1"/>
    </xf>
    <xf numFmtId="0" fontId="17" fillId="36" borderId="49" xfId="0" applyFont="1" applyFill="1" applyBorder="1" applyAlignment="1">
      <alignment horizontal="center" wrapText="1"/>
    </xf>
    <xf numFmtId="0" fontId="17" fillId="36" borderId="50" xfId="0" applyFont="1" applyFill="1" applyBorder="1" applyAlignment="1">
      <alignment horizontal="center" vertical="top" wrapText="1"/>
    </xf>
    <xf numFmtId="0" fontId="17" fillId="36" borderId="51" xfId="0" applyFont="1" applyFill="1" applyBorder="1" applyAlignment="1">
      <alignment horizontal="center" vertical="top" wrapText="1"/>
    </xf>
    <xf numFmtId="0" fontId="17" fillId="36" borderId="37" xfId="0" applyFont="1" applyFill="1" applyBorder="1" applyAlignment="1">
      <alignment horizontal="center" wrapText="1"/>
    </xf>
    <xf numFmtId="0" fontId="17" fillId="36" borderId="25" xfId="0" applyFont="1" applyFill="1" applyBorder="1" applyAlignment="1">
      <alignment horizontal="center" vertical="center" wrapText="1"/>
    </xf>
    <xf numFmtId="0" fontId="17" fillId="36" borderId="52" xfId="0" applyFont="1" applyFill="1" applyBorder="1" applyAlignment="1">
      <alignment horizontal="center" vertical="top" wrapText="1"/>
    </xf>
    <xf numFmtId="0" fontId="17" fillId="36" borderId="53" xfId="0" applyFont="1" applyFill="1" applyBorder="1" applyAlignment="1">
      <alignment vertical="top" wrapText="1"/>
    </xf>
    <xf numFmtId="0" fontId="17" fillId="36" borderId="53" xfId="0" applyFont="1" applyFill="1" applyBorder="1" applyAlignment="1">
      <alignment horizontal="center" vertical="top" wrapText="1"/>
    </xf>
    <xf numFmtId="0" fontId="17" fillId="36" borderId="54" xfId="0" applyFont="1" applyFill="1" applyBorder="1" applyAlignment="1">
      <alignment horizontal="center" wrapText="1"/>
    </xf>
    <xf numFmtId="0" fontId="17" fillId="36" borderId="17" xfId="0" applyFont="1" applyFill="1" applyBorder="1" applyAlignment="1">
      <alignment wrapText="1"/>
    </xf>
    <xf numFmtId="171" fontId="17" fillId="40" borderId="17" xfId="0" applyNumberFormat="1" applyFont="1" applyFill="1" applyBorder="1" applyAlignment="1">
      <alignment wrapText="1"/>
    </xf>
    <xf numFmtId="4" fontId="17" fillId="40" borderId="17" xfId="0" applyNumberFormat="1" applyFont="1" applyFill="1" applyBorder="1" applyAlignment="1">
      <alignment wrapText="1"/>
    </xf>
    <xf numFmtId="0" fontId="17" fillId="36" borderId="17" xfId="0" applyFont="1" applyFill="1" applyBorder="1" applyAlignment="1">
      <alignment vertical="top" wrapText="1"/>
    </xf>
    <xf numFmtId="0" fontId="17" fillId="36" borderId="25" xfId="0" applyFont="1" applyFill="1" applyBorder="1" applyAlignment="1">
      <alignment vertical="top" wrapText="1"/>
    </xf>
    <xf numFmtId="185" fontId="17" fillId="36" borderId="34" xfId="0" applyNumberFormat="1" applyFont="1" applyFill="1" applyBorder="1" applyAlignment="1">
      <alignment vertical="top" wrapText="1"/>
    </xf>
    <xf numFmtId="0" fontId="17" fillId="36" borderId="15" xfId="0" applyFont="1" applyFill="1" applyBorder="1" applyAlignment="1">
      <alignment horizontal="center" vertical="center" wrapText="1"/>
    </xf>
    <xf numFmtId="171" fontId="0" fillId="36" borderId="23" xfId="0" applyNumberFormat="1" applyFont="1" applyFill="1" applyBorder="1" applyAlignment="1">
      <alignment horizontal="right" wrapText="1"/>
    </xf>
    <xf numFmtId="10" fontId="0" fillId="0" borderId="23" xfId="0" applyNumberFormat="1" applyFont="1" applyFill="1" applyBorder="1" applyAlignment="1">
      <alignment horizontal="center" wrapText="1"/>
    </xf>
    <xf numFmtId="0" fontId="0" fillId="0" borderId="23" xfId="0" applyFont="1" applyFill="1" applyBorder="1" applyAlignment="1">
      <alignment horizontal="center" wrapText="1"/>
    </xf>
    <xf numFmtId="171" fontId="0" fillId="0" borderId="23" xfId="0" applyNumberFormat="1" applyFont="1" applyFill="1" applyBorder="1" applyAlignment="1">
      <alignment horizontal="right" wrapText="1"/>
    </xf>
    <xf numFmtId="0" fontId="0" fillId="0" borderId="0" xfId="0" applyAlignment="1">
      <alignment horizontal="center"/>
    </xf>
    <xf numFmtId="0" fontId="0" fillId="0" borderId="0" xfId="0" applyFont="1" applyFill="1" applyAlignment="1">
      <alignment horizontal="center" vertical="center"/>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181" fontId="0" fillId="0" borderId="56" xfId="0" applyNumberFormat="1" applyFont="1" applyFill="1" applyBorder="1" applyAlignment="1">
      <alignment horizontal="right" wrapText="1"/>
    </xf>
    <xf numFmtId="0" fontId="0" fillId="36" borderId="40" xfId="0" applyFont="1" applyFill="1" applyBorder="1" applyAlignment="1">
      <alignment horizontal="center" vertical="top" wrapText="1"/>
    </xf>
    <xf numFmtId="185" fontId="0" fillId="0" borderId="17" xfId="0" applyNumberFormat="1" applyFont="1" applyFill="1" applyBorder="1" applyAlignment="1">
      <alignment wrapText="1"/>
    </xf>
    <xf numFmtId="185" fontId="0" fillId="36" borderId="17" xfId="0" applyNumberFormat="1" applyFont="1" applyFill="1" applyBorder="1" applyAlignment="1">
      <alignment wrapText="1"/>
    </xf>
    <xf numFmtId="0" fontId="0" fillId="0" borderId="34" xfId="0" applyFont="1" applyFill="1" applyBorder="1" applyAlignment="1">
      <alignment horizontal="center" wrapText="1"/>
    </xf>
    <xf numFmtId="0" fontId="0" fillId="36" borderId="15" xfId="0" applyFont="1" applyFill="1" applyBorder="1" applyAlignment="1">
      <alignment horizontal="center" wrapText="1"/>
    </xf>
    <xf numFmtId="0" fontId="5" fillId="0" borderId="57" xfId="0" applyFont="1" applyFill="1" applyBorder="1" applyAlignment="1">
      <alignment horizontal="left"/>
    </xf>
    <xf numFmtId="0" fontId="6" fillId="0" borderId="18" xfId="0" applyFont="1" applyFill="1" applyBorder="1" applyAlignment="1">
      <alignment wrapText="1"/>
    </xf>
    <xf numFmtId="181" fontId="17" fillId="0" borderId="18" xfId="0" applyNumberFormat="1" applyFont="1" applyFill="1" applyBorder="1" applyAlignment="1">
      <alignment horizontal="right" wrapText="1"/>
    </xf>
    <xf numFmtId="0" fontId="6" fillId="36" borderId="17" xfId="0" applyFont="1" applyFill="1" applyBorder="1" applyAlignment="1">
      <alignment vertical="top" wrapText="1"/>
    </xf>
    <xf numFmtId="185" fontId="6" fillId="36" borderId="34" xfId="0" applyNumberFormat="1" applyFont="1" applyFill="1" applyBorder="1" applyAlignment="1">
      <alignment vertical="top" wrapText="1"/>
    </xf>
    <xf numFmtId="0" fontId="6" fillId="36" borderId="25" xfId="0" applyFont="1" applyFill="1" applyBorder="1" applyAlignment="1">
      <alignment vertical="top" wrapText="1"/>
    </xf>
    <xf numFmtId="185" fontId="6" fillId="36" borderId="35" xfId="0" applyNumberFormat="1" applyFont="1" applyFill="1" applyBorder="1" applyAlignment="1">
      <alignment vertical="top" wrapText="1"/>
    </xf>
    <xf numFmtId="185" fontId="17" fillId="0" borderId="35" xfId="0" applyNumberFormat="1" applyFont="1" applyFill="1" applyBorder="1" applyAlignment="1">
      <alignment vertical="top" wrapText="1"/>
    </xf>
    <xf numFmtId="185" fontId="17" fillId="0" borderId="34" xfId="0" applyNumberFormat="1" applyFont="1" applyFill="1" applyBorder="1" applyAlignment="1">
      <alignment vertical="top" wrapText="1"/>
    </xf>
    <xf numFmtId="185" fontId="6" fillId="36" borderId="35" xfId="0" applyNumberFormat="1" applyFont="1" applyFill="1" applyBorder="1" applyAlignment="1">
      <alignment horizontal="right" vertical="top" wrapText="1"/>
    </xf>
    <xf numFmtId="0" fontId="6" fillId="0" borderId="27" xfId="0" applyFont="1" applyBorder="1" applyAlignment="1">
      <alignment horizontal="center" vertical="center" wrapText="1"/>
    </xf>
    <xf numFmtId="0" fontId="6" fillId="0" borderId="17" xfId="0" applyFont="1" applyBorder="1" applyAlignment="1">
      <alignment vertical="top" wrapText="1"/>
    </xf>
    <xf numFmtId="185" fontId="6" fillId="34" borderId="0" xfId="0" applyNumberFormat="1" applyFont="1" applyFill="1" applyAlignment="1" applyProtection="1">
      <alignment vertical="top" wrapText="1"/>
      <protection locked="0"/>
    </xf>
    <xf numFmtId="0" fontId="17" fillId="0" borderId="17" xfId="0" applyFont="1" applyBorder="1" applyAlignment="1">
      <alignment vertical="top" wrapText="1"/>
    </xf>
    <xf numFmtId="185" fontId="17" fillId="0" borderId="0" xfId="0" applyNumberFormat="1" applyFont="1" applyAlignment="1" applyProtection="1">
      <alignment vertical="top" wrapText="1"/>
      <protection locked="0"/>
    </xf>
    <xf numFmtId="0" fontId="17" fillId="0" borderId="25" xfId="0" applyFont="1" applyBorder="1" applyAlignment="1">
      <alignment vertical="top" wrapText="1"/>
    </xf>
    <xf numFmtId="0" fontId="6" fillId="0" borderId="25" xfId="0" applyFont="1" applyBorder="1" applyAlignment="1">
      <alignment vertical="top" wrapText="1"/>
    </xf>
    <xf numFmtId="185" fontId="6" fillId="34" borderId="27" xfId="0" applyNumberFormat="1" applyFont="1" applyFill="1" applyBorder="1" applyAlignment="1" applyProtection="1">
      <alignment vertical="top" wrapText="1"/>
      <protection locked="0"/>
    </xf>
    <xf numFmtId="185" fontId="17" fillId="0" borderId="27" xfId="0" applyNumberFormat="1" applyFont="1" applyBorder="1" applyAlignment="1" applyProtection="1">
      <alignment vertical="top" wrapText="1"/>
      <protection locked="0"/>
    </xf>
    <xf numFmtId="185" fontId="6" fillId="34" borderId="27" xfId="0" applyNumberFormat="1" applyFont="1" applyFill="1" applyBorder="1" applyAlignment="1" applyProtection="1">
      <alignment horizontal="right" vertical="top" wrapText="1"/>
      <protection locked="0"/>
    </xf>
    <xf numFmtId="0" fontId="6" fillId="36" borderId="15" xfId="0" applyFont="1" applyFill="1" applyBorder="1" applyAlignment="1">
      <alignment horizontal="center" wrapText="1"/>
    </xf>
    <xf numFmtId="0" fontId="17" fillId="36" borderId="15" xfId="0" applyFont="1" applyFill="1" applyBorder="1" applyAlignment="1">
      <alignment horizontal="left" wrapText="1"/>
    </xf>
    <xf numFmtId="185"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6" borderId="33" xfId="0" applyFont="1" applyFill="1" applyBorder="1" applyAlignment="1">
      <alignment horizontal="left" wrapText="1"/>
    </xf>
    <xf numFmtId="185" fontId="6" fillId="36" borderId="33" xfId="0" applyNumberFormat="1" applyFont="1" applyFill="1" applyBorder="1" applyAlignment="1">
      <alignment horizontal="justify" vertical="top" wrapText="1"/>
    </xf>
    <xf numFmtId="0" fontId="6" fillId="36" borderId="15" xfId="0" applyFont="1" applyFill="1" applyBorder="1" applyAlignment="1">
      <alignment horizontal="left" wrapText="1"/>
    </xf>
    <xf numFmtId="185" fontId="6" fillId="36" borderId="15" xfId="0" applyNumberFormat="1" applyFont="1" applyFill="1" applyBorder="1" applyAlignment="1">
      <alignment horizontal="justify" vertical="top" wrapText="1"/>
    </xf>
    <xf numFmtId="185" fontId="17" fillId="36" borderId="15" xfId="0" applyNumberFormat="1" applyFont="1" applyFill="1" applyBorder="1" applyAlignment="1">
      <alignment horizontal="justify" vertical="top" wrapText="1"/>
    </xf>
    <xf numFmtId="0" fontId="0" fillId="0" borderId="58" xfId="0" applyFont="1" applyFill="1" applyBorder="1" applyAlignment="1">
      <alignment wrapText="1"/>
    </xf>
    <xf numFmtId="171" fontId="0" fillId="0" borderId="15" xfId="0" applyNumberFormat="1" applyFont="1" applyFill="1" applyBorder="1" applyAlignment="1">
      <alignment wrapText="1"/>
    </xf>
    <xf numFmtId="171" fontId="0" fillId="0" borderId="15" xfId="0" applyNumberFormat="1" applyFont="1" applyFill="1" applyBorder="1" applyAlignment="1" applyProtection="1">
      <alignment wrapText="1"/>
      <protection locked="0"/>
    </xf>
    <xf numFmtId="0" fontId="0" fillId="0" borderId="18" xfId="0" applyFont="1" applyFill="1" applyBorder="1" applyAlignment="1">
      <alignment wrapText="1"/>
    </xf>
    <xf numFmtId="0" fontId="5" fillId="41" borderId="15" xfId="51" applyFont="1" applyFill="1" applyBorder="1" applyAlignment="1">
      <alignment vertical="center"/>
      <protection/>
    </xf>
    <xf numFmtId="0" fontId="5" fillId="41" borderId="15" xfId="51" applyNumberFormat="1" applyFont="1" applyFill="1" applyBorder="1" applyAlignment="1">
      <alignment vertical="center" wrapText="1"/>
      <protection/>
    </xf>
    <xf numFmtId="171" fontId="5" fillId="41" borderId="15" xfId="0" applyNumberFormat="1" applyFont="1" applyFill="1" applyBorder="1" applyAlignment="1">
      <alignment/>
    </xf>
    <xf numFmtId="0" fontId="0" fillId="36" borderId="15" xfId="51" applyFont="1" applyFill="1" applyBorder="1" applyAlignment="1">
      <alignment vertical="center" wrapText="1"/>
      <protection/>
    </xf>
    <xf numFmtId="0" fontId="5" fillId="38" borderId="15" xfId="51" applyFont="1" applyFill="1" applyBorder="1" applyAlignment="1">
      <alignment vertical="center"/>
      <protection/>
    </xf>
    <xf numFmtId="0" fontId="5" fillId="38" borderId="15" xfId="51" applyNumberFormat="1" applyFont="1" applyFill="1" applyBorder="1" applyAlignment="1">
      <alignment vertical="center" wrapText="1"/>
      <protection/>
    </xf>
    <xf numFmtId="171" fontId="5" fillId="38" borderId="15" xfId="0" applyNumberFormat="1" applyFont="1" applyFill="1" applyBorder="1" applyAlignment="1">
      <alignment/>
    </xf>
    <xf numFmtId="171" fontId="0" fillId="33" borderId="15" xfId="0" applyNumberFormat="1" applyFont="1" applyFill="1" applyBorder="1" applyAlignment="1">
      <alignment/>
    </xf>
    <xf numFmtId="3" fontId="41" fillId="36" borderId="15" xfId="0" applyNumberFormat="1" applyFont="1" applyFill="1" applyBorder="1" applyAlignment="1">
      <alignment horizontal="center"/>
    </xf>
    <xf numFmtId="0" fontId="41" fillId="36" borderId="15" xfId="0" applyFont="1" applyFill="1" applyBorder="1" applyAlignment="1">
      <alignment horizontal="center"/>
    </xf>
    <xf numFmtId="0" fontId="41" fillId="33" borderId="15" xfId="0" applyNumberFormat="1" applyFont="1" applyFill="1" applyBorder="1" applyAlignment="1">
      <alignment/>
    </xf>
    <xf numFmtId="171" fontId="42" fillId="33" borderId="15" xfId="0" applyNumberFormat="1" applyFont="1" applyFill="1" applyBorder="1" applyAlignment="1" applyProtection="1">
      <alignment/>
      <protection locked="0"/>
    </xf>
    <xf numFmtId="0" fontId="42" fillId="33" borderId="15" xfId="0" applyNumberFormat="1" applyFont="1" applyFill="1" applyBorder="1" applyAlignment="1">
      <alignment/>
    </xf>
    <xf numFmtId="0" fontId="41" fillId="0" borderId="15" xfId="0" applyNumberFormat="1" applyFont="1" applyBorder="1" applyAlignment="1">
      <alignment/>
    </xf>
    <xf numFmtId="0" fontId="42" fillId="0" borderId="15" xfId="0" applyNumberFormat="1" applyFont="1" applyBorder="1" applyAlignment="1">
      <alignment/>
    </xf>
    <xf numFmtId="171" fontId="42" fillId="0" borderId="15" xfId="0" applyNumberFormat="1" applyFont="1" applyBorder="1" applyAlignment="1">
      <alignment/>
    </xf>
    <xf numFmtId="0" fontId="40" fillId="0" borderId="15" xfId="0" applyNumberFormat="1" applyFont="1" applyBorder="1" applyAlignment="1">
      <alignment/>
    </xf>
    <xf numFmtId="0" fontId="42" fillId="33" borderId="59" xfId="0" applyFont="1" applyFill="1" applyBorder="1" applyAlignment="1">
      <alignment horizontal="justify" vertical="center" wrapText="1"/>
    </xf>
    <xf numFmtId="0" fontId="42" fillId="33" borderId="21" xfId="0" applyFont="1" applyFill="1" applyBorder="1" applyAlignment="1">
      <alignment horizontal="justify" vertical="center" wrapText="1"/>
    </xf>
    <xf numFmtId="0" fontId="42" fillId="33" borderId="19" xfId="0" applyFont="1" applyFill="1" applyBorder="1" applyAlignment="1">
      <alignment horizontal="justify" vertical="center" wrapText="1"/>
    </xf>
    <xf numFmtId="0" fontId="42" fillId="0" borderId="0" xfId="0" applyFont="1" applyAlignment="1">
      <alignment/>
    </xf>
    <xf numFmtId="0" fontId="41" fillId="0" borderId="0" xfId="0" applyFont="1" applyAlignment="1">
      <alignment/>
    </xf>
    <xf numFmtId="3" fontId="42" fillId="0" borderId="0" xfId="0" applyNumberFormat="1" applyFont="1" applyAlignment="1">
      <alignment/>
    </xf>
    <xf numFmtId="0" fontId="40" fillId="0" borderId="0" xfId="0" applyFont="1" applyAlignment="1">
      <alignment/>
    </xf>
    <xf numFmtId="0" fontId="43" fillId="0" borderId="0" xfId="0" applyFont="1" applyAlignment="1">
      <alignment/>
    </xf>
    <xf numFmtId="0" fontId="44" fillId="0" borderId="0" xfId="0" applyFont="1" applyAlignment="1">
      <alignment/>
    </xf>
    <xf numFmtId="0" fontId="41" fillId="41" borderId="15" xfId="0" applyFont="1" applyFill="1" applyBorder="1" applyAlignment="1">
      <alignment/>
    </xf>
    <xf numFmtId="3" fontId="41" fillId="41" borderId="15" xfId="0" applyNumberFormat="1" applyFont="1" applyFill="1" applyBorder="1" applyAlignment="1">
      <alignment/>
    </xf>
    <xf numFmtId="0" fontId="42" fillId="33" borderId="60" xfId="0" applyFont="1" applyFill="1" applyBorder="1" applyAlignment="1">
      <alignment horizontal="justify" vertical="center" wrapText="1"/>
    </xf>
    <xf numFmtId="0" fontId="42" fillId="33" borderId="61" xfId="0" applyFont="1" applyFill="1" applyBorder="1" applyAlignment="1">
      <alignment horizontal="justify" vertical="center" wrapText="1"/>
    </xf>
    <xf numFmtId="0" fontId="41" fillId="34" borderId="15" xfId="0" applyFont="1" applyFill="1" applyBorder="1" applyAlignment="1">
      <alignment/>
    </xf>
    <xf numFmtId="171" fontId="41" fillId="34" borderId="15" xfId="0" applyNumberFormat="1" applyFont="1" applyFill="1" applyBorder="1" applyAlignment="1">
      <alignment/>
    </xf>
    <xf numFmtId="0" fontId="6" fillId="38" borderId="15" xfId="0" applyFont="1" applyFill="1" applyBorder="1" applyAlignment="1">
      <alignment/>
    </xf>
    <xf numFmtId="3" fontId="6" fillId="36" borderId="15" xfId="0" applyNumberFormat="1" applyFont="1" applyFill="1" applyBorder="1" applyAlignment="1">
      <alignment horizontal="center" wrapText="1"/>
    </xf>
    <xf numFmtId="185" fontId="6" fillId="38" borderId="15" xfId="0" applyNumberFormat="1" applyFont="1" applyFill="1" applyBorder="1" applyAlignment="1" applyProtection="1">
      <alignment/>
      <protection locked="0"/>
    </xf>
    <xf numFmtId="0" fontId="0" fillId="0" borderId="29" xfId="0" applyFont="1" applyFill="1" applyBorder="1" applyAlignment="1">
      <alignment horizontal="center"/>
    </xf>
    <xf numFmtId="0" fontId="0" fillId="0" borderId="15" xfId="0" applyFont="1" applyFill="1" applyBorder="1" applyAlignment="1">
      <alignment horizontal="center" wrapText="1"/>
    </xf>
    <xf numFmtId="0" fontId="0" fillId="0" borderId="15" xfId="0" applyFont="1" applyFill="1" applyBorder="1" applyAlignment="1">
      <alignment wrapText="1"/>
    </xf>
    <xf numFmtId="10" fontId="0" fillId="0" borderId="15"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wrapText="1"/>
    </xf>
    <xf numFmtId="0" fontId="0" fillId="0" borderId="35" xfId="0" applyFont="1" applyFill="1" applyBorder="1" applyAlignment="1" quotePrefix="1">
      <alignment horizontal="center" wrapText="1"/>
    </xf>
    <xf numFmtId="0" fontId="0" fillId="0" borderId="25" xfId="0" applyFont="1" applyFill="1" applyBorder="1" applyAlignment="1">
      <alignment horizontal="center" wrapText="1"/>
    </xf>
    <xf numFmtId="171"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5" xfId="0" applyFont="1" applyFill="1" applyBorder="1" applyAlignment="1">
      <alignment/>
    </xf>
    <xf numFmtId="0" fontId="45" fillId="0" borderId="18" xfId="0" applyFont="1" applyFill="1" applyBorder="1" applyAlignment="1">
      <alignment wrapText="1"/>
    </xf>
    <xf numFmtId="185" fontId="45" fillId="0" borderId="17" xfId="0" applyNumberFormat="1" applyFont="1" applyFill="1" applyBorder="1" applyAlignment="1" applyProtection="1">
      <alignment wrapText="1"/>
      <protection locked="0"/>
    </xf>
    <xf numFmtId="185" fontId="45" fillId="0" borderId="25" xfId="0" applyNumberFormat="1" applyFont="1" applyFill="1" applyBorder="1" applyAlignment="1" applyProtection="1">
      <alignment wrapText="1"/>
      <protection locked="0"/>
    </xf>
    <xf numFmtId="181" fontId="45" fillId="0" borderId="18" xfId="0" applyNumberFormat="1" applyFont="1" applyFill="1" applyBorder="1" applyAlignment="1">
      <alignment horizontal="right" wrapText="1"/>
    </xf>
    <xf numFmtId="0" fontId="45" fillId="0" borderId="25"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17" xfId="0" applyFont="1" applyFill="1" applyBorder="1" applyAlignment="1">
      <alignment wrapText="1"/>
    </xf>
    <xf numFmtId="0" fontId="45" fillId="0" borderId="25" xfId="0" applyFont="1" applyFill="1" applyBorder="1" applyAlignment="1">
      <alignment wrapText="1"/>
    </xf>
    <xf numFmtId="0" fontId="46" fillId="0" borderId="25" xfId="0" applyFont="1" applyFill="1" applyBorder="1" applyAlignment="1">
      <alignment wrapText="1"/>
    </xf>
    <xf numFmtId="39" fontId="0" fillId="42" borderId="15" xfId="0" applyNumberFormat="1" applyFont="1" applyFill="1" applyBorder="1" applyAlignment="1" applyProtection="1">
      <alignment horizontal="center"/>
      <protection/>
    </xf>
    <xf numFmtId="0" fontId="5" fillId="43" borderId="15" xfId="0" applyFont="1" applyFill="1" applyBorder="1" applyAlignment="1">
      <alignment horizontal="center"/>
    </xf>
    <xf numFmtId="0" fontId="5" fillId="44" borderId="15" xfId="0" applyFont="1" applyFill="1" applyBorder="1" applyAlignment="1" applyProtection="1">
      <alignment/>
      <protection locked="0"/>
    </xf>
    <xf numFmtId="10" fontId="0" fillId="43" borderId="15" xfId="0" applyNumberFormat="1" applyFont="1" applyFill="1" applyBorder="1" applyAlignment="1" applyProtection="1">
      <alignment horizontal="right"/>
      <protection locked="0"/>
    </xf>
    <xf numFmtId="10" fontId="0" fillId="43" borderId="15" xfId="0" applyNumberFormat="1" applyFont="1" applyFill="1" applyBorder="1" applyAlignment="1" applyProtection="1">
      <alignment horizontal="center"/>
      <protection/>
    </xf>
    <xf numFmtId="0" fontId="5" fillId="44" borderId="15" xfId="0" applyFont="1" applyFill="1" applyBorder="1" applyAlignment="1">
      <alignment/>
    </xf>
    <xf numFmtId="10" fontId="0" fillId="43" borderId="15" xfId="0" applyNumberFormat="1" applyFont="1" applyFill="1" applyBorder="1" applyAlignment="1">
      <alignment/>
    </xf>
    <xf numFmtId="0" fontId="5" fillId="45" borderId="15" xfId="0" applyFont="1" applyFill="1" applyBorder="1" applyAlignment="1">
      <alignment/>
    </xf>
    <xf numFmtId="0" fontId="5" fillId="43" borderId="15" xfId="0" applyFont="1" applyFill="1" applyBorder="1" applyAlignment="1">
      <alignment/>
    </xf>
    <xf numFmtId="39" fontId="0" fillId="43" borderId="15" xfId="0" applyNumberFormat="1" applyFont="1" applyFill="1" applyBorder="1" applyAlignment="1">
      <alignment/>
    </xf>
    <xf numFmtId="39" fontId="0" fillId="43" borderId="15" xfId="0" applyNumberFormat="1" applyFont="1" applyFill="1" applyBorder="1" applyAlignment="1" applyProtection="1">
      <alignment horizontal="center"/>
      <protection/>
    </xf>
    <xf numFmtId="10" fontId="0" fillId="42" borderId="15" xfId="0" applyNumberFormat="1" applyFont="1" applyFill="1" applyBorder="1" applyAlignment="1" applyProtection="1">
      <alignment horizontal="center"/>
      <protection/>
    </xf>
    <xf numFmtId="10" fontId="0" fillId="42" borderId="15" xfId="0" applyNumberFormat="1" applyFont="1" applyFill="1" applyBorder="1" applyAlignment="1" applyProtection="1">
      <alignment horizontal="center"/>
      <protection locked="0"/>
    </xf>
    <xf numFmtId="171" fontId="42" fillId="2" borderId="15" xfId="0" applyNumberFormat="1" applyFont="1" applyFill="1" applyBorder="1" applyAlignment="1" applyProtection="1">
      <alignment/>
      <protection locked="0"/>
    </xf>
    <xf numFmtId="171" fontId="42" fillId="2" borderId="15" xfId="0" applyNumberFormat="1" applyFont="1" applyFill="1" applyBorder="1" applyAlignment="1">
      <alignment/>
    </xf>
    <xf numFmtId="171" fontId="41" fillId="2" borderId="15" xfId="0" applyNumberFormat="1" applyFont="1" applyFill="1" applyBorder="1" applyAlignment="1">
      <alignment/>
    </xf>
    <xf numFmtId="171" fontId="40" fillId="2" borderId="15" xfId="0" applyNumberFormat="1" applyFont="1" applyFill="1" applyBorder="1" applyAlignment="1">
      <alignment/>
    </xf>
    <xf numFmtId="171" fontId="41" fillId="2" borderId="15" xfId="0" applyNumberFormat="1" applyFont="1" applyFill="1" applyBorder="1" applyAlignment="1" applyProtection="1">
      <alignment/>
      <protection locked="0"/>
    </xf>
    <xf numFmtId="171" fontId="0" fillId="2" borderId="17" xfId="0" applyNumberFormat="1" applyFont="1" applyFill="1" applyBorder="1" applyAlignment="1">
      <alignment horizontal="right" wrapText="1"/>
    </xf>
    <xf numFmtId="171"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171"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171"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171" fontId="0" fillId="2" borderId="17" xfId="0" applyNumberFormat="1" applyFont="1" applyFill="1" applyBorder="1" applyAlignment="1">
      <alignment horizontal="right"/>
    </xf>
    <xf numFmtId="171" fontId="0" fillId="2" borderId="25" xfId="0" applyNumberFormat="1" applyFont="1" applyFill="1" applyBorder="1" applyAlignment="1">
      <alignment horizontal="right"/>
    </xf>
    <xf numFmtId="185" fontId="45" fillId="2" borderId="17" xfId="0" applyNumberFormat="1" applyFont="1" applyFill="1" applyBorder="1" applyAlignment="1">
      <alignment wrapText="1"/>
    </xf>
    <xf numFmtId="10" fontId="45" fillId="2" borderId="17" xfId="0" applyNumberFormat="1" applyFont="1" applyFill="1" applyBorder="1" applyAlignment="1">
      <alignment wrapText="1"/>
    </xf>
    <xf numFmtId="185" fontId="45" fillId="2" borderId="17" xfId="0" applyNumberFormat="1" applyFont="1" applyFill="1" applyBorder="1" applyAlignment="1" applyProtection="1">
      <alignment wrapText="1"/>
      <protection locked="0"/>
    </xf>
    <xf numFmtId="185" fontId="45" fillId="2" borderId="25" xfId="0" applyNumberFormat="1" applyFont="1" applyFill="1" applyBorder="1" applyAlignment="1" applyProtection="1">
      <alignment wrapText="1"/>
      <protection locked="0"/>
    </xf>
    <xf numFmtId="10" fontId="45" fillId="2" borderId="25" xfId="0" applyNumberFormat="1" applyFont="1" applyFill="1" applyBorder="1" applyAlignment="1">
      <alignment wrapText="1"/>
    </xf>
    <xf numFmtId="185" fontId="45" fillId="2" borderId="25" xfId="0" applyNumberFormat="1" applyFont="1" applyFill="1" applyBorder="1" applyAlignment="1">
      <alignment wrapText="1"/>
    </xf>
    <xf numFmtId="185" fontId="45" fillId="42" borderId="17" xfId="0" applyNumberFormat="1" applyFont="1" applyFill="1" applyBorder="1" applyAlignment="1" applyProtection="1">
      <alignment wrapText="1"/>
      <protection locked="0"/>
    </xf>
    <xf numFmtId="10" fontId="0" fillId="0" borderId="22" xfId="0" applyNumberFormat="1" applyFont="1" applyFill="1" applyBorder="1" applyAlignment="1">
      <alignment horizontal="center" wrapText="1"/>
    </xf>
    <xf numFmtId="171" fontId="0" fillId="0" borderId="15" xfId="0" applyNumberFormat="1" applyFont="1" applyFill="1" applyBorder="1" applyAlignment="1">
      <alignment horizontal="center" wrapText="1"/>
    </xf>
    <xf numFmtId="0" fontId="48" fillId="0" borderId="0" xfId="0" applyFont="1" applyFill="1" applyAlignment="1">
      <alignment/>
    </xf>
    <xf numFmtId="0" fontId="48"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81" fontId="17" fillId="0" borderId="18" xfId="0" applyNumberFormat="1" applyFont="1" applyFill="1" applyBorder="1" applyAlignment="1">
      <alignment horizontal="right" vertical="top" wrapText="1"/>
    </xf>
    <xf numFmtId="0" fontId="6" fillId="42" borderId="17" xfId="0" applyFont="1" applyFill="1" applyBorder="1" applyAlignment="1">
      <alignment horizontal="center" vertical="center" wrapText="1"/>
    </xf>
    <xf numFmtId="0" fontId="6" fillId="42" borderId="25" xfId="0" applyFont="1" applyFill="1" applyBorder="1" applyAlignment="1">
      <alignment horizontal="center" vertical="center" wrapText="1"/>
    </xf>
    <xf numFmtId="0" fontId="6" fillId="42" borderId="15" xfId="0" applyFont="1" applyFill="1" applyBorder="1" applyAlignment="1">
      <alignment horizontal="center" vertical="center" wrapText="1"/>
    </xf>
    <xf numFmtId="0" fontId="17" fillId="42" borderId="0" xfId="0" applyFont="1" applyFill="1" applyBorder="1" applyAlignment="1">
      <alignment horizontal="left" vertical="center" wrapText="1"/>
    </xf>
    <xf numFmtId="171" fontId="17" fillId="42" borderId="33" xfId="0" applyNumberFormat="1" applyFont="1" applyFill="1" applyBorder="1" applyAlignment="1">
      <alignment horizontal="center" vertical="center" wrapText="1"/>
    </xf>
    <xf numFmtId="171" fontId="17" fillId="42" borderId="17" xfId="0" applyNumberFormat="1" applyFont="1" applyFill="1" applyBorder="1" applyAlignment="1">
      <alignment horizontal="center" vertical="center" wrapText="1"/>
    </xf>
    <xf numFmtId="171" fontId="17" fillId="42" borderId="34" xfId="0" applyNumberFormat="1" applyFont="1" applyFill="1" applyBorder="1" applyAlignment="1">
      <alignment horizontal="right" vertical="center" wrapText="1"/>
    </xf>
    <xf numFmtId="0" fontId="17" fillId="42" borderId="0" xfId="0" applyFont="1" applyFill="1" applyBorder="1" applyAlignment="1">
      <alignment vertical="top" wrapText="1"/>
    </xf>
    <xf numFmtId="171" fontId="17" fillId="42" borderId="34" xfId="0" applyNumberFormat="1" applyFont="1" applyFill="1" applyBorder="1" applyAlignment="1">
      <alignment vertical="top" wrapText="1"/>
    </xf>
    <xf numFmtId="171" fontId="17" fillId="42" borderId="17" xfId="0" applyNumberFormat="1" applyFont="1" applyFill="1" applyBorder="1" applyAlignment="1">
      <alignment vertical="top" wrapText="1"/>
    </xf>
    <xf numFmtId="171" fontId="17" fillId="42" borderId="34" xfId="0" applyNumberFormat="1" applyFont="1" applyFill="1" applyBorder="1" applyAlignment="1" applyProtection="1">
      <alignment vertical="top" wrapText="1"/>
      <protection locked="0"/>
    </xf>
    <xf numFmtId="171" fontId="17" fillId="42" borderId="17" xfId="0" applyNumberFormat="1" applyFont="1" applyFill="1" applyBorder="1" applyAlignment="1" applyProtection="1">
      <alignment vertical="top" wrapText="1"/>
      <protection locked="0"/>
    </xf>
    <xf numFmtId="171" fontId="17" fillId="42" borderId="35" xfId="0" applyNumberFormat="1" applyFont="1" applyFill="1" applyBorder="1" applyAlignment="1" applyProtection="1">
      <alignment vertical="top" wrapText="1"/>
      <protection locked="0"/>
    </xf>
    <xf numFmtId="171" fontId="17" fillId="42" borderId="25" xfId="0" applyNumberFormat="1" applyFont="1" applyFill="1" applyBorder="1" applyAlignment="1" applyProtection="1">
      <alignment vertical="top" wrapText="1"/>
      <protection locked="0"/>
    </xf>
    <xf numFmtId="0" fontId="17" fillId="42" borderId="27" xfId="0" applyFont="1" applyFill="1" applyBorder="1" applyAlignment="1">
      <alignment vertical="top" wrapText="1"/>
    </xf>
    <xf numFmtId="171" fontId="17" fillId="42" borderId="35" xfId="0" applyNumberFormat="1" applyFont="1" applyFill="1" applyBorder="1" applyAlignment="1">
      <alignment vertical="top" wrapText="1"/>
    </xf>
    <xf numFmtId="0" fontId="17" fillId="42" borderId="17" xfId="0" applyFont="1" applyFill="1" applyBorder="1" applyAlignment="1">
      <alignment vertical="top" wrapText="1"/>
    </xf>
    <xf numFmtId="0" fontId="17" fillId="42" borderId="17" xfId="0" applyFont="1" applyFill="1" applyBorder="1" applyAlignment="1" applyProtection="1">
      <alignment vertical="top" wrapText="1"/>
      <protection locked="0"/>
    </xf>
    <xf numFmtId="0" fontId="17" fillId="42" borderId="33" xfId="0" applyFont="1" applyFill="1" applyBorder="1" applyAlignment="1" applyProtection="1">
      <alignment vertical="top" wrapText="1"/>
      <protection locked="0"/>
    </xf>
    <xf numFmtId="185" fontId="17" fillId="42" borderId="17" xfId="0" applyNumberFormat="1" applyFont="1" applyFill="1" applyBorder="1" applyAlignment="1">
      <alignment vertical="top" wrapText="1"/>
    </xf>
    <xf numFmtId="185" fontId="17" fillId="42" borderId="34" xfId="0" applyNumberFormat="1" applyFont="1" applyFill="1" applyBorder="1" applyAlignment="1">
      <alignment vertical="top" wrapText="1"/>
    </xf>
    <xf numFmtId="185" fontId="17" fillId="42" borderId="17" xfId="0" applyNumberFormat="1" applyFont="1" applyFill="1" applyBorder="1" applyAlignment="1" applyProtection="1">
      <alignment vertical="top" wrapText="1"/>
      <protection locked="0"/>
    </xf>
    <xf numFmtId="185" fontId="17" fillId="42" borderId="34" xfId="0" applyNumberFormat="1" applyFont="1" applyFill="1" applyBorder="1" applyAlignment="1" applyProtection="1">
      <alignment vertical="top" wrapText="1"/>
      <protection locked="0"/>
    </xf>
    <xf numFmtId="0" fontId="17" fillId="42" borderId="25" xfId="0" applyFont="1" applyFill="1" applyBorder="1" applyAlignment="1">
      <alignment vertical="top" wrapText="1"/>
    </xf>
    <xf numFmtId="185" fontId="17" fillId="42" borderId="25" xfId="0" applyNumberFormat="1" applyFont="1" applyFill="1" applyBorder="1" applyAlignment="1" applyProtection="1">
      <alignment vertical="top" wrapText="1"/>
      <protection locked="0"/>
    </xf>
    <xf numFmtId="185" fontId="17" fillId="42" borderId="35" xfId="0" applyNumberFormat="1" applyFont="1" applyFill="1" applyBorder="1" applyAlignment="1" applyProtection="1">
      <alignment vertical="top" wrapText="1"/>
      <protection locked="0"/>
    </xf>
    <xf numFmtId="185" fontId="17" fillId="42" borderId="25" xfId="0" applyNumberFormat="1" applyFont="1" applyFill="1" applyBorder="1" applyAlignment="1">
      <alignment vertical="top" wrapText="1"/>
    </xf>
    <xf numFmtId="185" fontId="17" fillId="42" borderId="15" xfId="0" applyNumberFormat="1" applyFont="1" applyFill="1" applyBorder="1" applyAlignment="1">
      <alignment vertical="top" wrapText="1"/>
    </xf>
    <xf numFmtId="185" fontId="17" fillId="42" borderId="35" xfId="0" applyNumberFormat="1" applyFont="1" applyFill="1" applyBorder="1" applyAlignment="1">
      <alignment vertical="top" wrapText="1"/>
    </xf>
    <xf numFmtId="0" fontId="5" fillId="36" borderId="40" xfId="51" applyFont="1" applyFill="1" applyBorder="1" applyAlignment="1">
      <alignment vertical="center"/>
      <protection/>
    </xf>
    <xf numFmtId="171" fontId="5" fillId="0" borderId="15" xfId="0" applyNumberFormat="1" applyFont="1" applyFill="1" applyBorder="1" applyAlignment="1">
      <alignment/>
    </xf>
    <xf numFmtId="10" fontId="0" fillId="43" borderId="15" xfId="0" applyNumberFormat="1" applyFont="1" applyFill="1" applyBorder="1" applyAlignment="1">
      <alignment horizontal="center"/>
    </xf>
    <xf numFmtId="171" fontId="0" fillId="42" borderId="17" xfId="0" applyNumberFormat="1" applyFont="1" applyFill="1" applyBorder="1" applyAlignment="1" applyProtection="1">
      <alignment horizontal="right"/>
      <protection locked="0"/>
    </xf>
    <xf numFmtId="171" fontId="0" fillId="42" borderId="25" xfId="0" applyNumberFormat="1" applyFont="1" applyFill="1" applyBorder="1" applyAlignment="1" applyProtection="1">
      <alignment horizontal="right"/>
      <protection locked="0"/>
    </xf>
    <xf numFmtId="0" fontId="0" fillId="0" borderId="17" xfId="0" applyFont="1" applyFill="1" applyBorder="1" applyAlignment="1">
      <alignment horizontal="center" wrapText="1"/>
    </xf>
    <xf numFmtId="185" fontId="0" fillId="0" borderId="17" xfId="0" applyNumberFormat="1" applyFont="1" applyFill="1" applyBorder="1" applyAlignment="1">
      <alignment wrapText="1"/>
    </xf>
    <xf numFmtId="185" fontId="0" fillId="36" borderId="40" xfId="0" applyNumberFormat="1" applyFont="1" applyFill="1" applyBorder="1" applyAlignment="1">
      <alignment wrapText="1"/>
    </xf>
    <xf numFmtId="171" fontId="0" fillId="0" borderId="23" xfId="50" applyNumberFormat="1" applyFont="1" applyFill="1" applyBorder="1" applyAlignment="1">
      <alignment horizontal="right" wrapText="1"/>
      <protection/>
    </xf>
    <xf numFmtId="14" fontId="0" fillId="0" borderId="23" xfId="50" applyNumberFormat="1" applyFont="1" applyFill="1" applyBorder="1" applyAlignment="1">
      <alignment horizontal="right" wrapText="1"/>
      <protection/>
    </xf>
    <xf numFmtId="17" fontId="0" fillId="0" borderId="23" xfId="50" applyNumberFormat="1" applyFont="1" applyFill="1" applyBorder="1" applyAlignment="1">
      <alignment horizontal="right" wrapText="1"/>
      <protection/>
    </xf>
    <xf numFmtId="10" fontId="0" fillId="0" borderId="23" xfId="50" applyNumberFormat="1" applyFont="1" applyFill="1" applyBorder="1" applyAlignment="1">
      <alignment horizontal="right" wrapText="1"/>
      <protection/>
    </xf>
    <xf numFmtId="10" fontId="0" fillId="0" borderId="22" xfId="50" applyNumberFormat="1" applyFont="1" applyFill="1" applyBorder="1" applyAlignment="1">
      <alignment horizontal="right" wrapText="1"/>
      <protection/>
    </xf>
    <xf numFmtId="185" fontId="89" fillId="0" borderId="15" xfId="0" applyNumberFormat="1" applyFont="1" applyFill="1" applyBorder="1" applyAlignment="1" applyProtection="1">
      <alignment/>
      <protection locked="0"/>
    </xf>
    <xf numFmtId="14" fontId="0" fillId="0" borderId="23" xfId="0" applyNumberFormat="1" applyFont="1" applyFill="1" applyBorder="1" applyAlignment="1">
      <alignment horizontal="right" wrapText="1"/>
    </xf>
    <xf numFmtId="10" fontId="0" fillId="0" borderId="23" xfId="0" applyNumberFormat="1" applyFont="1" applyFill="1" applyBorder="1" applyAlignment="1">
      <alignment horizontal="right" wrapText="1"/>
    </xf>
    <xf numFmtId="10" fontId="0" fillId="0" borderId="22" xfId="0" applyNumberFormat="1" applyFont="1" applyFill="1" applyBorder="1" applyAlignment="1">
      <alignment horizontal="right" wrapText="1"/>
    </xf>
    <xf numFmtId="171" fontId="0" fillId="0" borderId="0" xfId="0" applyNumberFormat="1" applyFill="1" applyAlignment="1">
      <alignment/>
    </xf>
    <xf numFmtId="171" fontId="29" fillId="0" borderId="0" xfId="0" applyNumberFormat="1" applyFont="1" applyFill="1" applyAlignment="1">
      <alignment/>
    </xf>
    <xf numFmtId="171" fontId="9" fillId="0" borderId="0" xfId="0" applyNumberFormat="1" applyFont="1" applyFill="1" applyAlignment="1">
      <alignment/>
    </xf>
    <xf numFmtId="0" fontId="12" fillId="0" borderId="0" xfId="0" applyFont="1" applyBorder="1" applyAlignment="1">
      <alignment/>
    </xf>
    <xf numFmtId="0" fontId="0" fillId="0" borderId="0" xfId="0" applyBorder="1" applyAlignment="1">
      <alignment/>
    </xf>
    <xf numFmtId="38" fontId="20" fillId="0" borderId="36" xfId="0" applyNumberFormat="1" applyFont="1" applyBorder="1" applyAlignment="1">
      <alignment horizontal="center"/>
    </xf>
    <xf numFmtId="0" fontId="20" fillId="0" borderId="37" xfId="0" applyFont="1" applyBorder="1" applyAlignment="1">
      <alignment horizontal="center"/>
    </xf>
    <xf numFmtId="0" fontId="20" fillId="0" borderId="38" xfId="0" applyFont="1" applyBorder="1" applyAlignment="1">
      <alignment horizontal="center"/>
    </xf>
    <xf numFmtId="0" fontId="20" fillId="0" borderId="36" xfId="0" applyFont="1" applyBorder="1" applyAlignment="1">
      <alignment horizontal="center"/>
    </xf>
    <xf numFmtId="0" fontId="21" fillId="0" borderId="62" xfId="0" applyFont="1" applyBorder="1" applyAlignment="1">
      <alignment horizontal="center"/>
    </xf>
    <xf numFmtId="0" fontId="21" fillId="0" borderId="63" xfId="0" applyFont="1" applyBorder="1" applyAlignment="1">
      <alignment horizontal="center"/>
    </xf>
    <xf numFmtId="0" fontId="21" fillId="0" borderId="37" xfId="0" applyFont="1" applyBorder="1" applyAlignment="1">
      <alignment horizontal="center"/>
    </xf>
    <xf numFmtId="0" fontId="21" fillId="0" borderId="38"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3"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3" fillId="38" borderId="0" xfId="0" applyNumberFormat="1"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27" xfId="0" applyFont="1" applyFill="1" applyBorder="1" applyAlignment="1" applyProtection="1">
      <alignment horizontal="center" vertical="center"/>
      <protection/>
    </xf>
    <xf numFmtId="0" fontId="5" fillId="38" borderId="27" xfId="0" applyFont="1" applyFill="1" applyBorder="1" applyAlignment="1">
      <alignment vertical="center"/>
    </xf>
    <xf numFmtId="49" fontId="33" fillId="36" borderId="16" xfId="0" applyNumberFormat="1" applyFont="1" applyFill="1" applyBorder="1" applyAlignment="1" applyProtection="1">
      <alignment horizontal="center" vertical="center" wrapText="1"/>
      <protection/>
    </xf>
    <xf numFmtId="0" fontId="33" fillId="36" borderId="25" xfId="0" applyFont="1" applyFill="1" applyBorder="1" applyAlignment="1" applyProtection="1">
      <alignment horizontal="center" vertical="center" wrapText="1"/>
      <protection/>
    </xf>
    <xf numFmtId="0" fontId="33" fillId="36" borderId="26" xfId="0" applyFont="1" applyFill="1" applyBorder="1" applyAlignment="1" applyProtection="1">
      <alignment horizontal="center" vertical="center" wrapText="1"/>
      <protection/>
    </xf>
    <xf numFmtId="38" fontId="33" fillId="36"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6" borderId="0" xfId="0" applyNumberFormat="1" applyFont="1" applyFill="1" applyAlignment="1" applyProtection="1">
      <alignment horizontal="center" vertical="center" wrapText="1"/>
      <protection/>
    </xf>
    <xf numFmtId="0" fontId="36" fillId="38" borderId="27" xfId="0" applyFont="1" applyFill="1" applyBorder="1" applyAlignment="1">
      <alignment horizontal="center" wrapText="1"/>
    </xf>
    <xf numFmtId="0" fontId="5" fillId="38" borderId="27" xfId="0" applyFont="1" applyFill="1" applyBorder="1" applyAlignment="1">
      <alignment horizontal="center" wrapText="1"/>
    </xf>
    <xf numFmtId="0" fontId="33" fillId="36" borderId="26" xfId="64" applyNumberFormat="1" applyFont="1" applyFill="1" applyBorder="1" applyAlignment="1" applyProtection="1">
      <alignment horizontal="center" vertical="center"/>
      <protection/>
    </xf>
    <xf numFmtId="0" fontId="16" fillId="0" borderId="39" xfId="0" applyFont="1" applyBorder="1" applyAlignment="1">
      <alignment wrapText="1"/>
    </xf>
    <xf numFmtId="0" fontId="0" fillId="0" borderId="26" xfId="0" applyBorder="1" applyAlignment="1">
      <alignment wrapText="1"/>
    </xf>
    <xf numFmtId="0" fontId="0" fillId="0" borderId="40" xfId="0" applyBorder="1" applyAlignment="1">
      <alignment wrapText="1"/>
    </xf>
    <xf numFmtId="0" fontId="6" fillId="36" borderId="15" xfId="0" applyFont="1" applyFill="1" applyBorder="1" applyAlignment="1">
      <alignment horizontal="center" vertical="center" wrapText="1"/>
    </xf>
    <xf numFmtId="38" fontId="14" fillId="0" borderId="36" xfId="0" applyNumberFormat="1"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6" xfId="0" applyFont="1" applyBorder="1" applyAlignment="1">
      <alignment horizontal="center"/>
    </xf>
    <xf numFmtId="0" fontId="41" fillId="36" borderId="15" xfId="0" applyFont="1" applyFill="1" applyBorder="1" applyAlignment="1">
      <alignment horizontal="center" vertical="center" wrapText="1"/>
    </xf>
    <xf numFmtId="38" fontId="41" fillId="0" borderId="36" xfId="0" applyNumberFormat="1" applyFont="1" applyBorder="1" applyAlignment="1">
      <alignment horizontal="center"/>
    </xf>
    <xf numFmtId="0" fontId="41" fillId="0" borderId="37" xfId="0" applyFont="1" applyBorder="1" applyAlignment="1">
      <alignment horizontal="center"/>
    </xf>
    <xf numFmtId="0" fontId="41" fillId="0" borderId="38" xfId="0" applyFont="1" applyBorder="1" applyAlignment="1">
      <alignment horizontal="center"/>
    </xf>
    <xf numFmtId="0" fontId="41" fillId="0" borderId="36" xfId="0" applyFont="1" applyBorder="1" applyAlignment="1">
      <alignment horizontal="center"/>
    </xf>
    <xf numFmtId="38" fontId="0" fillId="0" borderId="36" xfId="0" applyNumberFormat="1" applyFont="1"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36"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57" xfId="0" applyFont="1" applyFill="1" applyBorder="1" applyAlignment="1">
      <alignment wrapText="1"/>
    </xf>
    <xf numFmtId="0" fontId="5" fillId="0" borderId="54" xfId="0" applyFont="1" applyFill="1" applyBorder="1" applyAlignment="1">
      <alignment wrapText="1"/>
    </xf>
    <xf numFmtId="0" fontId="5" fillId="0" borderId="55" xfId="0" applyFont="1" applyFill="1" applyBorder="1" applyAlignment="1">
      <alignment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wrapText="1"/>
    </xf>
    <xf numFmtId="211" fontId="21" fillId="0" borderId="33" xfId="0" applyNumberFormat="1" applyFont="1" applyFill="1" applyBorder="1" applyAlignment="1">
      <alignment textRotation="90" wrapText="1"/>
    </xf>
    <xf numFmtId="211" fontId="21" fillId="0" borderId="34" xfId="0" applyNumberFormat="1" applyFont="1" applyFill="1" applyBorder="1" applyAlignment="1">
      <alignment textRotation="90" wrapText="1"/>
    </xf>
    <xf numFmtId="211" fontId="21" fillId="0" borderId="35" xfId="0" applyNumberFormat="1" applyFont="1" applyFill="1" applyBorder="1" applyAlignment="1">
      <alignment textRotation="90" wrapText="1"/>
    </xf>
    <xf numFmtId="181"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5" fillId="0" borderId="16" xfId="0" applyFont="1" applyFill="1" applyBorder="1" applyAlignment="1">
      <alignment horizontal="left"/>
    </xf>
    <xf numFmtId="0" fontId="0" fillId="0" borderId="3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7" fillId="0" borderId="16" xfId="0" applyFont="1" applyBorder="1" applyAlignment="1">
      <alignment horizontal="left"/>
    </xf>
    <xf numFmtId="0" fontId="17" fillId="36" borderId="29"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17" fillId="36" borderId="39" xfId="0" applyFont="1" applyFill="1" applyBorder="1" applyAlignment="1">
      <alignment horizontal="center" vertical="center" wrapText="1"/>
    </xf>
    <xf numFmtId="0" fontId="17" fillId="36" borderId="26" xfId="0" applyFont="1" applyFill="1" applyBorder="1" applyAlignment="1">
      <alignment horizontal="center" vertical="center" wrapText="1"/>
    </xf>
    <xf numFmtId="0" fontId="17" fillId="36" borderId="40" xfId="0" applyFont="1" applyFill="1" applyBorder="1" applyAlignment="1">
      <alignment horizontal="center" vertical="center" wrapText="1"/>
    </xf>
    <xf numFmtId="0" fontId="6" fillId="0" borderId="57" xfId="0" applyFont="1" applyFill="1" applyBorder="1" applyAlignment="1">
      <alignment wrapText="1"/>
    </xf>
    <xf numFmtId="0" fontId="5" fillId="0" borderId="54" xfId="0" applyFont="1" applyBorder="1" applyAlignment="1">
      <alignment wrapText="1"/>
    </xf>
    <xf numFmtId="0" fontId="5" fillId="0" borderId="55" xfId="0" applyFont="1" applyBorder="1" applyAlignment="1">
      <alignment wrapText="1"/>
    </xf>
    <xf numFmtId="211" fontId="17" fillId="40" borderId="33" xfId="0" applyNumberFormat="1" applyFont="1" applyFill="1" applyBorder="1" applyAlignment="1">
      <alignment textRotation="90" wrapText="1"/>
    </xf>
    <xf numFmtId="0" fontId="0" fillId="0" borderId="34" xfId="0" applyBorder="1" applyAlignment="1">
      <alignment textRotation="90" wrapText="1"/>
    </xf>
    <xf numFmtId="0" fontId="0" fillId="0" borderId="35" xfId="0" applyBorder="1" applyAlignment="1">
      <alignment textRotation="90" wrapText="1"/>
    </xf>
    <xf numFmtId="0" fontId="17" fillId="0" borderId="36"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38" fontId="17" fillId="0" borderId="36"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17" fillId="0" borderId="18" xfId="0" applyFont="1" applyBorder="1" applyAlignment="1">
      <alignment wrapText="1"/>
    </xf>
    <xf numFmtId="181" fontId="17" fillId="0" borderId="18" xfId="0" applyNumberFormat="1" applyFont="1" applyBorder="1" applyAlignment="1">
      <alignment horizontal="right" wrapText="1"/>
    </xf>
    <xf numFmtId="0" fontId="17" fillId="0" borderId="18" xfId="0" applyFont="1" applyBorder="1" applyAlignment="1">
      <alignment horizontal="right" wrapText="1"/>
    </xf>
    <xf numFmtId="211" fontId="0" fillId="0" borderId="33" xfId="0" applyNumberFormat="1" applyFont="1" applyFill="1" applyBorder="1" applyAlignment="1">
      <alignment textRotation="90" wrapText="1"/>
    </xf>
    <xf numFmtId="211" fontId="0" fillId="0" borderId="34" xfId="0" applyNumberFormat="1" applyFont="1" applyFill="1" applyBorder="1" applyAlignment="1">
      <alignment textRotation="90" wrapText="1"/>
    </xf>
    <xf numFmtId="211" fontId="0" fillId="0" borderId="35" xfId="0" applyNumberFormat="1" applyFont="1" applyFill="1" applyBorder="1" applyAlignment="1">
      <alignment textRotation="90" wrapText="1"/>
    </xf>
    <xf numFmtId="0" fontId="0" fillId="0"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57" xfId="0" applyFont="1" applyFill="1" applyBorder="1" applyAlignment="1">
      <alignment horizontal="justify"/>
    </xf>
    <xf numFmtId="0" fontId="5" fillId="0" borderId="55" xfId="0" applyFont="1" applyFill="1" applyBorder="1" applyAlignment="1">
      <alignment/>
    </xf>
    <xf numFmtId="0" fontId="0" fillId="0" borderId="39" xfId="0" applyFont="1" applyFill="1" applyBorder="1" applyAlignment="1">
      <alignment horizontal="center"/>
    </xf>
    <xf numFmtId="0" fontId="0" fillId="0" borderId="26" xfId="0" applyFont="1" applyFill="1" applyBorder="1" applyAlignment="1">
      <alignment horizont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16" fillId="0" borderId="27" xfId="0" applyFont="1" applyFill="1" applyBorder="1" applyAlignment="1">
      <alignment horizontal="left" vertical="top" wrapText="1"/>
    </xf>
    <xf numFmtId="0" fontId="5" fillId="0" borderId="27" xfId="0" applyFont="1" applyFill="1" applyBorder="1" applyAlignment="1">
      <alignment/>
    </xf>
    <xf numFmtId="38" fontId="45" fillId="0" borderId="36" xfId="0" applyNumberFormat="1" applyFont="1" applyFill="1" applyBorder="1" applyAlignment="1">
      <alignment horizontal="center"/>
    </xf>
    <xf numFmtId="0" fontId="45" fillId="0" borderId="37" xfId="0" applyFont="1" applyFill="1" applyBorder="1" applyAlignment="1">
      <alignment horizontal="center"/>
    </xf>
    <xf numFmtId="0" fontId="45" fillId="0" borderId="38" xfId="0" applyFont="1" applyFill="1" applyBorder="1" applyAlignment="1">
      <alignment horizontal="center"/>
    </xf>
    <xf numFmtId="0" fontId="45" fillId="0" borderId="36" xfId="0" applyFont="1" applyFill="1" applyBorder="1" applyAlignment="1">
      <alignment horizontal="center"/>
    </xf>
    <xf numFmtId="0" fontId="45" fillId="0" borderId="26" xfId="0" applyFont="1" applyFill="1" applyBorder="1" applyAlignment="1">
      <alignment wrapText="1"/>
    </xf>
    <xf numFmtId="0" fontId="46" fillId="0" borderId="26" xfId="0" applyFont="1" applyFill="1" applyBorder="1" applyAlignment="1">
      <alignment horizontal="center" wrapText="1"/>
    </xf>
    <xf numFmtId="0" fontId="46" fillId="0" borderId="57" xfId="0" applyFont="1" applyFill="1" applyBorder="1" applyAlignment="1">
      <alignment wrapText="1"/>
    </xf>
    <xf numFmtId="0" fontId="46" fillId="0" borderId="55" xfId="0" applyFont="1" applyFill="1" applyBorder="1" applyAlignment="1">
      <alignment wrapText="1"/>
    </xf>
    <xf numFmtId="0" fontId="46" fillId="0" borderId="36" xfId="0" applyFont="1" applyFill="1" applyBorder="1" applyAlignment="1">
      <alignment horizontal="center"/>
    </xf>
    <xf numFmtId="0" fontId="46" fillId="0" borderId="37" xfId="0" applyFont="1" applyFill="1" applyBorder="1" applyAlignment="1">
      <alignment horizontal="center"/>
    </xf>
    <xf numFmtId="0" fontId="46" fillId="0" borderId="38" xfId="0" applyFont="1" applyFill="1" applyBorder="1" applyAlignment="1">
      <alignment horizontal="center"/>
    </xf>
    <xf numFmtId="0" fontId="46" fillId="0" borderId="16" xfId="0" applyFont="1" applyFill="1" applyBorder="1" applyAlignment="1">
      <alignment wrapText="1"/>
    </xf>
    <xf numFmtId="0" fontId="45" fillId="0" borderId="16" xfId="0" applyFont="1" applyFill="1" applyBorder="1" applyAlignment="1">
      <alignment wrapText="1"/>
    </xf>
    <xf numFmtId="0" fontId="45" fillId="0" borderId="16" xfId="0" applyFont="1" applyFill="1" applyBorder="1" applyAlignment="1">
      <alignment horizontal="left"/>
    </xf>
    <xf numFmtId="0" fontId="6" fillId="42" borderId="29" xfId="0" applyFont="1" applyFill="1" applyBorder="1" applyAlignment="1">
      <alignment horizontal="center" vertical="center" wrapText="1"/>
    </xf>
    <xf numFmtId="0" fontId="6" fillId="42" borderId="25" xfId="0" applyFont="1" applyFill="1" applyBorder="1" applyAlignment="1">
      <alignment horizontal="center" vertical="center" wrapText="1"/>
    </xf>
    <xf numFmtId="0" fontId="6" fillId="42" borderId="33" xfId="0" applyFont="1" applyFill="1" applyBorder="1" applyAlignment="1">
      <alignment horizontal="center" vertical="center" wrapText="1"/>
    </xf>
    <xf numFmtId="0" fontId="6" fillId="42" borderId="35" xfId="0" applyFont="1" applyFill="1" applyBorder="1" applyAlignment="1">
      <alignment horizontal="center" vertical="center" wrapText="1"/>
    </xf>
    <xf numFmtId="0" fontId="17" fillId="42" borderId="29" xfId="0" applyFont="1" applyFill="1" applyBorder="1" applyAlignment="1">
      <alignment horizontal="left" vertical="top" wrapText="1"/>
    </xf>
    <xf numFmtId="0" fontId="17" fillId="42" borderId="25" xfId="0" applyFont="1" applyFill="1" applyBorder="1" applyAlignment="1">
      <alignment horizontal="left" vertical="top" wrapText="1"/>
    </xf>
    <xf numFmtId="0" fontId="16" fillId="0" borderId="16" xfId="0" applyFont="1" applyBorder="1" applyAlignment="1">
      <alignment horizontal="left"/>
    </xf>
    <xf numFmtId="0" fontId="17" fillId="42" borderId="26" xfId="0" applyFont="1" applyFill="1" applyBorder="1" applyAlignment="1">
      <alignment vertical="top" wrapText="1"/>
    </xf>
    <xf numFmtId="0" fontId="17" fillId="0" borderId="36" xfId="0" applyFont="1" applyFill="1" applyBorder="1" applyAlignment="1">
      <alignment horizontal="center"/>
    </xf>
    <xf numFmtId="0" fontId="17" fillId="0" borderId="37" xfId="0" applyFont="1" applyFill="1" applyBorder="1" applyAlignment="1">
      <alignment horizontal="center"/>
    </xf>
    <xf numFmtId="0" fontId="17" fillId="0" borderId="38" xfId="0" applyFont="1" applyFill="1" applyBorder="1" applyAlignment="1">
      <alignment horizontal="center"/>
    </xf>
    <xf numFmtId="38" fontId="17" fillId="0" borderId="36" xfId="0" applyNumberFormat="1" applyFont="1" applyFill="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0" fillId="0" borderId="15" xfId="0" applyFont="1" applyFill="1" applyBorder="1" applyAlignment="1">
      <alignment/>
    </xf>
    <xf numFmtId="0" fontId="0" fillId="0" borderId="40" xfId="0" applyFont="1" applyFill="1" applyBorder="1" applyAlignment="1">
      <alignment/>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37" fontId="0" fillId="0" borderId="39" xfId="0" applyNumberFormat="1" applyFont="1" applyFill="1" applyBorder="1" applyAlignment="1">
      <alignment horizontal="center" vertical="center"/>
    </xf>
    <xf numFmtId="37" fontId="0" fillId="0" borderId="26" xfId="0" applyNumberFormat="1" applyFont="1" applyFill="1" applyBorder="1" applyAlignment="1">
      <alignment horizontal="center" vertical="center"/>
    </xf>
    <xf numFmtId="37" fontId="0" fillId="0" borderId="40" xfId="0" applyNumberFormat="1" applyFont="1" applyFill="1" applyBorder="1" applyAlignment="1">
      <alignment horizontal="center" vertical="center"/>
    </xf>
    <xf numFmtId="38"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Alignment="1">
      <alignment horizontal="center"/>
    </xf>
    <xf numFmtId="0" fontId="0" fillId="0" borderId="64" xfId="0" applyFont="1" applyFill="1" applyBorder="1" applyAlignment="1">
      <alignment horizontal="center"/>
    </xf>
    <xf numFmtId="0" fontId="3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37" fontId="0" fillId="0" borderId="39" xfId="0" applyNumberFormat="1" applyFont="1" applyFill="1" applyBorder="1" applyAlignment="1">
      <alignment horizontal="center"/>
    </xf>
    <xf numFmtId="37" fontId="0" fillId="0" borderId="26" xfId="0" applyNumberFormat="1" applyFont="1" applyFill="1" applyBorder="1" applyAlignment="1">
      <alignment horizontal="center"/>
    </xf>
    <xf numFmtId="37" fontId="0" fillId="0" borderId="40" xfId="0" applyNumberFormat="1" applyFont="1" applyFill="1" applyBorder="1" applyAlignment="1">
      <alignment horizontal="center"/>
    </xf>
    <xf numFmtId="37" fontId="5" fillId="0" borderId="39" xfId="0" applyNumberFormat="1" applyFont="1" applyFill="1" applyBorder="1" applyAlignment="1">
      <alignment horizontal="center"/>
    </xf>
    <xf numFmtId="37" fontId="5" fillId="0" borderId="26" xfId="0" applyNumberFormat="1" applyFont="1" applyFill="1" applyBorder="1" applyAlignment="1">
      <alignment horizontal="center"/>
    </xf>
    <xf numFmtId="0" fontId="5" fillId="0" borderId="26" xfId="0" applyFont="1" applyFill="1" applyBorder="1" applyAlignment="1">
      <alignment horizontal="center" vertical="center" wrapText="1"/>
    </xf>
    <xf numFmtId="0" fontId="0" fillId="0" borderId="39" xfId="0" applyFont="1" applyFill="1" applyBorder="1" applyAlignment="1">
      <alignment/>
    </xf>
    <xf numFmtId="0" fontId="0" fillId="0" borderId="15" xfId="0" applyFont="1" applyFill="1" applyBorder="1" applyAlignment="1">
      <alignment horizontal="center" vertical="top" wrapText="1"/>
    </xf>
    <xf numFmtId="167" fontId="0" fillId="0" borderId="22" xfId="0" applyNumberFormat="1" applyFont="1" applyFill="1" applyBorder="1" applyAlignment="1">
      <alignment horizontal="right"/>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0" fillId="0" borderId="22" xfId="0" applyFont="1" applyFill="1" applyBorder="1" applyAlignment="1">
      <alignment horizontal="left" vertical="center"/>
    </xf>
    <xf numFmtId="0" fontId="15" fillId="0" borderId="16" xfId="0" applyFont="1" applyFill="1" applyBorder="1" applyAlignment="1">
      <alignment horizontal="left" vertical="center" wrapText="1"/>
    </xf>
    <xf numFmtId="0" fontId="0" fillId="0" borderId="29" xfId="0" applyFont="1" applyFill="1" applyBorder="1" applyAlignment="1">
      <alignment horizontal="center"/>
    </xf>
    <xf numFmtId="0" fontId="0" fillId="0" borderId="17" xfId="0" applyFont="1" applyFill="1" applyBorder="1" applyAlignment="1">
      <alignment horizontal="center"/>
    </xf>
    <xf numFmtId="0" fontId="0" fillId="0" borderId="25" xfId="0" applyFont="1" applyFill="1" applyBorder="1" applyAlignment="1">
      <alignment horizontal="center"/>
    </xf>
    <xf numFmtId="0" fontId="0" fillId="0" borderId="39" xfId="0" applyFont="1" applyFill="1" applyBorder="1" applyAlignment="1">
      <alignment vertical="top" wrapText="1"/>
    </xf>
    <xf numFmtId="0" fontId="0" fillId="0" borderId="26" xfId="0" applyFont="1" applyFill="1" applyBorder="1" applyAlignment="1">
      <alignment vertical="top" wrapText="1"/>
    </xf>
    <xf numFmtId="0" fontId="0" fillId="0" borderId="39" xfId="0" applyFont="1" applyFill="1" applyBorder="1" applyAlignment="1">
      <alignment horizontal="center" vertical="top" wrapText="1"/>
    </xf>
    <xf numFmtId="0" fontId="0" fillId="0" borderId="26" xfId="0" applyFont="1" applyFill="1" applyBorder="1" applyAlignment="1">
      <alignment horizontal="center" vertical="top" wrapText="1"/>
    </xf>
    <xf numFmtId="0" fontId="5" fillId="0" borderId="39" xfId="0" applyFont="1" applyFill="1" applyBorder="1" applyAlignment="1">
      <alignment horizontal="center" wrapText="1"/>
    </xf>
    <xf numFmtId="0" fontId="5" fillId="0" borderId="26" xfId="0" applyFont="1" applyFill="1" applyBorder="1" applyAlignment="1">
      <alignment horizontal="center" wrapText="1"/>
    </xf>
    <xf numFmtId="0" fontId="5" fillId="0" borderId="40" xfId="0" applyFont="1" applyFill="1" applyBorder="1" applyAlignment="1">
      <alignment horizontal="center" wrapText="1"/>
    </xf>
    <xf numFmtId="0" fontId="0" fillId="36" borderId="39" xfId="0" applyFont="1" applyFill="1" applyBorder="1" applyAlignment="1">
      <alignment wrapText="1"/>
    </xf>
    <xf numFmtId="0" fontId="0" fillId="36" borderId="26" xfId="0" applyFont="1" applyFill="1" applyBorder="1" applyAlignment="1">
      <alignment wrapText="1"/>
    </xf>
    <xf numFmtId="0" fontId="0" fillId="36" borderId="40" xfId="0" applyFont="1" applyFill="1" applyBorder="1" applyAlignment="1">
      <alignment wrapText="1"/>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0" fillId="36" borderId="29"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38" fontId="15" fillId="0" borderId="36" xfId="0" applyNumberFormat="1"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6" fillId="0" borderId="16" xfId="0" applyFont="1" applyFill="1" applyBorder="1" applyAlignment="1">
      <alignment horizontal="left"/>
    </xf>
    <xf numFmtId="0" fontId="17" fillId="0" borderId="16" xfId="0" applyFont="1" applyFill="1" applyBorder="1" applyAlignment="1">
      <alignment horizontal="left"/>
    </xf>
    <xf numFmtId="0" fontId="14" fillId="0" borderId="16" xfId="0" applyFont="1" applyBorder="1" applyAlignment="1">
      <alignment horizontal="left"/>
    </xf>
    <xf numFmtId="0" fontId="13" fillId="0" borderId="16" xfId="0" applyFont="1" applyBorder="1" applyAlignment="1">
      <alignment horizontal="left"/>
    </xf>
    <xf numFmtId="0" fontId="17" fillId="0" borderId="0" xfId="0" applyFont="1" applyBorder="1" applyAlignment="1">
      <alignment horizontal="justify" wrapText="1"/>
    </xf>
    <xf numFmtId="181" fontId="17" fillId="0" borderId="0" xfId="0" applyNumberFormat="1" applyFont="1" applyBorder="1" applyAlignment="1">
      <alignment horizontal="right" wrapText="1"/>
    </xf>
    <xf numFmtId="0" fontId="6" fillId="36" borderId="35" xfId="0" applyFont="1" applyFill="1" applyBorder="1" applyAlignment="1">
      <alignment horizontal="center" wrapText="1"/>
    </xf>
    <xf numFmtId="0" fontId="6" fillId="36" borderId="15" xfId="0" applyFont="1" applyFill="1" applyBorder="1" applyAlignment="1">
      <alignment horizontal="center" wrapText="1"/>
    </xf>
    <xf numFmtId="0" fontId="17" fillId="0" borderId="26" xfId="0" applyFont="1" applyFill="1" applyBorder="1" applyAlignment="1">
      <alignment horizontal="center" wrapText="1"/>
    </xf>
    <xf numFmtId="0" fontId="17" fillId="0" borderId="40" xfId="0" applyFont="1" applyFill="1" applyBorder="1" applyAlignment="1">
      <alignment horizontal="center" wrapText="1"/>
    </xf>
    <xf numFmtId="0" fontId="17" fillId="0" borderId="15" xfId="0" applyFont="1" applyFill="1" applyBorder="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6" fillId="0" borderId="0" xfId="0" applyFont="1" applyFill="1" applyAlignment="1">
      <alignment horizontal="center" wrapText="1"/>
    </xf>
    <xf numFmtId="0" fontId="20" fillId="0" borderId="68" xfId="0" applyFont="1" applyBorder="1" applyAlignment="1">
      <alignment horizontal="center" vertical="top" wrapText="1"/>
    </xf>
    <xf numFmtId="0" fontId="20" fillId="0" borderId="61" xfId="0" applyFont="1" applyBorder="1" applyAlignment="1">
      <alignment horizontal="center" vertical="top" wrapText="1"/>
    </xf>
    <xf numFmtId="0" fontId="21" fillId="35" borderId="59" xfId="0" applyFont="1" applyFill="1" applyBorder="1" applyAlignment="1">
      <alignment horizontal="center" vertical="top" wrapText="1"/>
    </xf>
    <xf numFmtId="0" fontId="21" fillId="35" borderId="65" xfId="0" applyFont="1" applyFill="1" applyBorder="1" applyAlignment="1">
      <alignment horizontal="center" vertical="top" wrapText="1"/>
    </xf>
    <xf numFmtId="0" fontId="21" fillId="35" borderId="69" xfId="0" applyFont="1" applyFill="1" applyBorder="1" applyAlignment="1">
      <alignment horizontal="center" vertical="top" wrapText="1"/>
    </xf>
    <xf numFmtId="0" fontId="21" fillId="35" borderId="68" xfId="0" applyFont="1" applyFill="1" applyBorder="1" applyAlignment="1">
      <alignment horizontal="center" vertical="top" wrapText="1"/>
    </xf>
    <xf numFmtId="0" fontId="21" fillId="35" borderId="70" xfId="0" applyFont="1" applyFill="1" applyBorder="1" applyAlignment="1">
      <alignment horizontal="center" vertical="top" wrapText="1"/>
    </xf>
    <xf numFmtId="0" fontId="21" fillId="35" borderId="61" xfId="0" applyFont="1" applyFill="1" applyBorder="1" applyAlignment="1">
      <alignment horizontal="center" vertical="top" wrapText="1"/>
    </xf>
    <xf numFmtId="0" fontId="21" fillId="35" borderId="68" xfId="0" applyFont="1" applyFill="1" applyBorder="1" applyAlignment="1">
      <alignment vertical="top" wrapText="1"/>
    </xf>
    <xf numFmtId="0" fontId="21" fillId="35" borderId="70" xfId="0" applyFont="1" applyFill="1" applyBorder="1" applyAlignment="1">
      <alignment vertical="top" wrapText="1"/>
    </xf>
    <xf numFmtId="0" fontId="21" fillId="35" borderId="61" xfId="0" applyFont="1" applyFill="1" applyBorder="1" applyAlignment="1">
      <alignment vertical="top" wrapText="1"/>
    </xf>
    <xf numFmtId="0" fontId="21" fillId="0" borderId="71" xfId="0" applyFont="1" applyBorder="1" applyAlignment="1">
      <alignment horizontal="center"/>
    </xf>
    <xf numFmtId="0" fontId="0" fillId="0" borderId="72" xfId="0" applyBorder="1" applyAlignment="1">
      <alignment/>
    </xf>
    <xf numFmtId="0" fontId="0" fillId="0" borderId="24" xfId="0" applyBorder="1" applyAlignment="1">
      <alignment/>
    </xf>
    <xf numFmtId="0" fontId="21" fillId="0" borderId="19" xfId="0" applyFont="1" applyBorder="1" applyAlignment="1">
      <alignment horizontal="center"/>
    </xf>
    <xf numFmtId="0" fontId="0" fillId="0" borderId="20" xfId="0" applyBorder="1" applyAlignment="1">
      <alignment/>
    </xf>
    <xf numFmtId="0" fontId="21" fillId="0" borderId="19" xfId="0" applyFont="1" applyBorder="1" applyAlignment="1">
      <alignment/>
    </xf>
    <xf numFmtId="0" fontId="5" fillId="0" borderId="0" xfId="0" applyFont="1" applyBorder="1" applyAlignment="1">
      <alignment/>
    </xf>
    <xf numFmtId="0" fontId="0" fillId="0" borderId="59" xfId="0" applyFont="1" applyFill="1" applyBorder="1" applyAlignment="1">
      <alignment wrapText="1"/>
    </xf>
    <xf numFmtId="0" fontId="0" fillId="0" borderId="69" xfId="0" applyFont="1" applyFill="1" applyBorder="1" applyAlignment="1">
      <alignment wrapText="1"/>
    </xf>
    <xf numFmtId="171" fontId="0" fillId="0" borderId="15" xfId="0" applyNumberFormat="1" applyFont="1" applyFill="1" applyBorder="1" applyAlignment="1">
      <alignment horizontal="right" wrapText="1"/>
    </xf>
    <xf numFmtId="0" fontId="5" fillId="36" borderId="59" xfId="0" applyFont="1" applyFill="1" applyBorder="1" applyAlignment="1">
      <alignment horizontal="center" wrapText="1"/>
    </xf>
    <xf numFmtId="0" fontId="5" fillId="36" borderId="65" xfId="0" applyFont="1" applyFill="1" applyBorder="1" applyAlignment="1">
      <alignment horizontal="center" wrapText="1"/>
    </xf>
    <xf numFmtId="0" fontId="5" fillId="36" borderId="69" xfId="0" applyFont="1" applyFill="1" applyBorder="1" applyAlignment="1">
      <alignment horizontal="center" wrapText="1"/>
    </xf>
    <xf numFmtId="171" fontId="0" fillId="36" borderId="21" xfId="0" applyNumberFormat="1" applyFont="1" applyFill="1" applyBorder="1" applyAlignment="1">
      <alignment horizontal="right" wrapText="1"/>
    </xf>
    <xf numFmtId="171" fontId="0" fillId="36" borderId="22" xfId="0" applyNumberFormat="1" applyFont="1" applyFill="1" applyBorder="1" applyAlignment="1">
      <alignment horizontal="right" wrapText="1"/>
    </xf>
    <xf numFmtId="171" fontId="0" fillId="36" borderId="23" xfId="0" applyNumberFormat="1" applyFont="1" applyFill="1" applyBorder="1" applyAlignment="1">
      <alignment horizontal="right" wrapText="1"/>
    </xf>
    <xf numFmtId="0" fontId="0" fillId="0" borderId="59" xfId="50" applyFont="1" applyFill="1" applyBorder="1" applyAlignment="1">
      <alignment wrapText="1"/>
      <protection/>
    </xf>
    <xf numFmtId="0" fontId="0" fillId="0" borderId="69" xfId="50" applyFont="1" applyFill="1" applyBorder="1" applyAlignment="1">
      <alignment wrapText="1"/>
      <protection/>
    </xf>
    <xf numFmtId="0" fontId="2" fillId="0" borderId="59" xfId="0" applyFont="1" applyBorder="1" applyAlignment="1">
      <alignment horizontal="center" wrapText="1"/>
    </xf>
    <xf numFmtId="0" fontId="2" fillId="0" borderId="65" xfId="0" applyFont="1" applyBorder="1" applyAlignment="1">
      <alignment horizontal="center" wrapText="1"/>
    </xf>
    <xf numFmtId="0" fontId="2" fillId="0" borderId="69" xfId="0" applyFont="1" applyBorder="1" applyAlignment="1">
      <alignment horizontal="center" wrapText="1"/>
    </xf>
    <xf numFmtId="0" fontId="0" fillId="0" borderId="59" xfId="0" applyFont="1" applyBorder="1" applyAlignment="1">
      <alignment wrapText="1"/>
    </xf>
    <xf numFmtId="0" fontId="0" fillId="0" borderId="69" xfId="0" applyFont="1" applyBorder="1" applyAlignment="1">
      <alignment wrapText="1"/>
    </xf>
    <xf numFmtId="0" fontId="0" fillId="0" borderId="59" xfId="0" applyFont="1" applyBorder="1" applyAlignment="1">
      <alignment horizontal="center" wrapText="1"/>
    </xf>
    <xf numFmtId="0" fontId="0" fillId="0" borderId="65" xfId="0" applyFont="1" applyBorder="1" applyAlignment="1">
      <alignment horizontal="center" wrapText="1"/>
    </xf>
    <xf numFmtId="0" fontId="0" fillId="0" borderId="69" xfId="0" applyFont="1" applyBorder="1" applyAlignment="1">
      <alignment horizontal="center" wrapText="1"/>
    </xf>
    <xf numFmtId="171" fontId="0" fillId="0" borderId="15" xfId="0" applyNumberFormat="1" applyFont="1" applyFill="1" applyBorder="1" applyAlignment="1">
      <alignment horizontal="center" wrapText="1"/>
    </xf>
    <xf numFmtId="0" fontId="5" fillId="36" borderId="68" xfId="0" applyFont="1" applyFill="1" applyBorder="1" applyAlignment="1">
      <alignment horizontal="center" wrapText="1"/>
    </xf>
    <xf numFmtId="0" fontId="5" fillId="36" borderId="61" xfId="0" applyFont="1" applyFill="1" applyBorder="1" applyAlignment="1">
      <alignment horizontal="center" wrapText="1"/>
    </xf>
    <xf numFmtId="0" fontId="5" fillId="36" borderId="71" xfId="0" applyFont="1" applyFill="1" applyBorder="1" applyAlignment="1">
      <alignment horizontal="center" wrapText="1"/>
    </xf>
    <xf numFmtId="0" fontId="5" fillId="36" borderId="24" xfId="0" applyFont="1" applyFill="1" applyBorder="1" applyAlignment="1">
      <alignment horizontal="center" wrapText="1"/>
    </xf>
    <xf numFmtId="0" fontId="5" fillId="36" borderId="21" xfId="0" applyFont="1" applyFill="1" applyBorder="1" applyAlignment="1">
      <alignment horizontal="center" wrapText="1"/>
    </xf>
    <xf numFmtId="0" fontId="5" fillId="36" borderId="23" xfId="0" applyFont="1" applyFill="1" applyBorder="1" applyAlignment="1">
      <alignment horizontal="center" wrapText="1"/>
    </xf>
    <xf numFmtId="0" fontId="5" fillId="36" borderId="72" xfId="0" applyFont="1" applyFill="1" applyBorder="1" applyAlignment="1">
      <alignment horizontal="center" wrapText="1"/>
    </xf>
    <xf numFmtId="0" fontId="5" fillId="36" borderId="19" xfId="0" applyFont="1" applyFill="1" applyBorder="1" applyAlignment="1">
      <alignment horizontal="center" wrapText="1"/>
    </xf>
    <xf numFmtId="0" fontId="5" fillId="36" borderId="0" xfId="0" applyFont="1" applyFill="1" applyBorder="1" applyAlignment="1">
      <alignment horizontal="center" wrapText="1"/>
    </xf>
    <xf numFmtId="0" fontId="5" fillId="36" borderId="20" xfId="0" applyFont="1" applyFill="1" applyBorder="1" applyAlignment="1">
      <alignment horizontal="center" wrapText="1"/>
    </xf>
    <xf numFmtId="0" fontId="1" fillId="0" borderId="71" xfId="0" applyFont="1" applyBorder="1" applyAlignment="1">
      <alignment horizontal="center" wrapText="1"/>
    </xf>
    <xf numFmtId="0" fontId="2" fillId="0" borderId="72" xfId="0" applyFont="1" applyBorder="1" applyAlignment="1">
      <alignment horizontal="center" wrapText="1"/>
    </xf>
    <xf numFmtId="0" fontId="2" fillId="0" borderId="24"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7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5" fillId="36" borderId="70" xfId="0" applyFont="1" applyFill="1" applyBorder="1" applyAlignment="1">
      <alignment horizont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6"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66675</xdr:rowOff>
    </xdr:from>
    <xdr:to>
      <xdr:col>6</xdr:col>
      <xdr:colOff>933450</xdr:colOff>
      <xdr:row>26</xdr:row>
      <xdr:rowOff>0</xdr:rowOff>
    </xdr:to>
    <xdr:sp>
      <xdr:nvSpPr>
        <xdr:cNvPr id="1" name="Rectangle 1"/>
        <xdr:cNvSpPr>
          <a:spLocks/>
        </xdr:cNvSpPr>
      </xdr:nvSpPr>
      <xdr:spPr>
        <a:xfrm>
          <a:off x="161925" y="3086100"/>
          <a:ext cx="90678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parâmetros acima foram utilizados para as projeções de receitas e despesas, bem como para os cálculos em valores correntes e constantes, de acordo com sua pertinência, ou não com as origem/espécie/rubrica de receita e/ou grupo de natureza de despesa.</a:t>
          </a:r>
        </a:p>
      </xdr:txBody>
    </xdr:sp>
    <xdr:clientData/>
  </xdr:twoCellAnchor>
  <xdr:twoCellAnchor>
    <xdr:from>
      <xdr:col>0</xdr:col>
      <xdr:colOff>1971675</xdr:colOff>
      <xdr:row>26</xdr:row>
      <xdr:rowOff>0</xdr:rowOff>
    </xdr:from>
    <xdr:to>
      <xdr:col>6</xdr:col>
      <xdr:colOff>314325</xdr:colOff>
      <xdr:row>26</xdr:row>
      <xdr:rowOff>0</xdr:rowOff>
    </xdr:to>
    <xdr:sp>
      <xdr:nvSpPr>
        <xdr:cNvPr id="2" name="Line 6"/>
        <xdr:cNvSpPr>
          <a:spLocks/>
        </xdr:cNvSpPr>
      </xdr:nvSpPr>
      <xdr:spPr>
        <a:xfrm>
          <a:off x="1971675" y="3476625"/>
          <a:ext cx="663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26</xdr:row>
      <xdr:rowOff>0</xdr:rowOff>
    </xdr:from>
    <xdr:to>
      <xdr:col>6</xdr:col>
      <xdr:colOff>381000</xdr:colOff>
      <xdr:row>26</xdr:row>
      <xdr:rowOff>0</xdr:rowOff>
    </xdr:to>
    <xdr:sp>
      <xdr:nvSpPr>
        <xdr:cNvPr id="3"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26</xdr:row>
      <xdr:rowOff>76200</xdr:rowOff>
    </xdr:from>
    <xdr:to>
      <xdr:col>6</xdr:col>
      <xdr:colOff>47625</xdr:colOff>
      <xdr:row>65</xdr:row>
      <xdr:rowOff>95250</xdr:rowOff>
    </xdr:to>
    <xdr:sp>
      <xdr:nvSpPr>
        <xdr:cNvPr id="1" name="Rectangle 1"/>
        <xdr:cNvSpPr>
          <a:spLocks/>
        </xdr:cNvSpPr>
      </xdr:nvSpPr>
      <xdr:spPr>
        <a:xfrm>
          <a:off x="304800" y="4524375"/>
          <a:ext cx="733425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LOA e estabelecendo ainda as medidas de compensação que serão adotadas, visando a dar cumprimento ao disposto no art. 4º, </a:t>
          </a:r>
          <a:r>
            <a:rPr lang="en-US" cap="none" sz="1100" b="0" i="0" u="none" baseline="0">
              <a:solidFill>
                <a:srgbClr val="000000"/>
              </a:solidFill>
              <a:latin typeface="Arial"/>
              <a:ea typeface="Arial"/>
              <a:cs typeface="Aria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latin typeface="Arial"/>
              <a:ea typeface="Arial"/>
              <a:cs typeface="Aria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e, 60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45</xdr:row>
      <xdr:rowOff>66675</xdr:rowOff>
    </xdr:to>
    <xdr:sp>
      <xdr:nvSpPr>
        <xdr:cNvPr id="1" name="Rectangle 1"/>
        <xdr:cNvSpPr>
          <a:spLocks/>
        </xdr:cNvSpPr>
      </xdr:nvSpPr>
      <xdr:spPr>
        <a:xfrm>
          <a:off x="123825" y="4876800"/>
          <a:ext cx="642937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 Demonstração da margem de expansão das despesas obrigatórias de caráter continuado visa a assegurar que não haverá criação de nova despesa sem a correspondente fonte de financiamento.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V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Desse modo, para estimar o aumento permanente das receitas em 2021 considerou-se o incremento real, ou seja, a diferença entre os valores estimados a preços constantes das receitas  trbutárias e de transferências correntes, no biênio 2020-2021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mesma linha, o aumento permandente das despesas de caráter obrigatório que terão impacto em 2020, foi calculado pela diferença a valores constantes, observada no biênio 2020-2021 nos grupos de natureza de despesa "Pessoal" e "Outras Despesas Correntes", chegando-se, assim, ao saldo da margem líquida de expansão.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necessário, a  Margem Líquida de Expansão acima demonstrada, será utilizada, pelo Poder Executivo, como forma de compensação do aumento das despesas obrigatórias de caráter continuado não previstas no orçamento, observado o disposto no art. 16 da LDO.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21</xdr:row>
      <xdr:rowOff>142875</xdr:rowOff>
    </xdr:from>
    <xdr:to>
      <xdr:col>1</xdr:col>
      <xdr:colOff>2657475</xdr:colOff>
      <xdr:row>26</xdr:row>
      <xdr:rowOff>133350</xdr:rowOff>
    </xdr:to>
    <xdr:sp>
      <xdr:nvSpPr>
        <xdr:cNvPr id="1" name="Rectangle 1"/>
        <xdr:cNvSpPr>
          <a:spLocks/>
        </xdr:cNvSpPr>
      </xdr:nvSpPr>
      <xdr:spPr>
        <a:xfrm>
          <a:off x="352425" y="4476750"/>
          <a:ext cx="55816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Declaramos para os devidos fins, que a expansão das despesas obrigatórias de caráter continuado, no exercício financeiro de 2022, adequar-se-ão às receitas do Município.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31</xdr:row>
      <xdr:rowOff>0</xdr:rowOff>
    </xdr:to>
    <xdr:sp>
      <xdr:nvSpPr>
        <xdr:cNvPr id="1" name="Rectangle 2"/>
        <xdr:cNvSpPr>
          <a:spLocks/>
        </xdr:cNvSpPr>
      </xdr:nvSpPr>
      <xdr:spPr>
        <a:xfrm>
          <a:off x="180975" y="5172075"/>
          <a:ext cx="679132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12</xdr:col>
      <xdr:colOff>457200</xdr:colOff>
      <xdr:row>56</xdr:row>
      <xdr:rowOff>114300</xdr:rowOff>
    </xdr:to>
    <xdr:sp>
      <xdr:nvSpPr>
        <xdr:cNvPr id="1" name="Rectangle 3"/>
        <xdr:cNvSpPr>
          <a:spLocks/>
        </xdr:cNvSpPr>
      </xdr:nvSpPr>
      <xdr:spPr>
        <a:xfrm>
          <a:off x="247650" y="3943350"/>
          <a:ext cx="11249025" cy="5438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Demonstrativo de Metas Anuais objetiva estabelecer as metas para o triênio compreendendo o ano de vigência da LOA e os dois subsequentes, abrangendo a Receita e Despesa Total, Receitas Não Financeiras, Despesas Não Financeiras, Resultado Primário, Resultado Nominal e Dívida Pública, visando atender a disposição contida no art. 4º, </a:t>
          </a:r>
          <a:r>
            <a:rPr lang="en-US" cap="none" sz="1100" b="0" i="0" u="none" baseline="0">
              <a:solidFill>
                <a:srgbClr val="000000"/>
              </a:solidFill>
            </a:rPr>
            <a:t>§</a:t>
          </a:r>
          <a:r>
            <a:rPr lang="en-US" cap="none" sz="1100" b="0" i="0" u="none" baseline="0">
              <a:solidFill>
                <a:srgbClr val="000000"/>
              </a:solidFill>
            </a:rPr>
            <a:t> 1º da LRF.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a:t>
          </a:r>
          <a:r>
            <a:rPr lang="en-US" cap="none" sz="1100" b="0" i="0" u="none" baseline="0">
              <a:solidFill>
                <a:srgbClr val="000000"/>
              </a:solidFill>
            </a:rPr>
            <a:t>4 – o resultado nominal calculado pelo critério ACIMA DA LINHA foi obtido a partir do resultado primário somado ao resultado da comperação entre  os juros ativos e passivos, representado a diferença entre o saldo previsto da dívida fiscal líquida em 31 de dezembro de determinado ano em relação ao apurado em 31 de dezembro do ano anterior; 
</a:t>
          </a:r>
          <a:r>
            <a:rPr lang="en-US" cap="none" sz="1100" b="0" i="0" u="none" baseline="0">
              <a:solidFill>
                <a:srgbClr val="000000"/>
              </a:solidFill>
            </a:rPr>
            <a:t>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(2018, 2019 e 2020) e os valores reestimados para o exercício atual (2021),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da República,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17</xdr:row>
      <xdr:rowOff>152400</xdr:rowOff>
    </xdr:from>
    <xdr:to>
      <xdr:col>9</xdr:col>
      <xdr:colOff>409575</xdr:colOff>
      <xdr:row>21</xdr:row>
      <xdr:rowOff>133350</xdr:rowOff>
    </xdr:to>
    <xdr:sp>
      <xdr:nvSpPr>
        <xdr:cNvPr id="1" name="Rectangle 1"/>
        <xdr:cNvSpPr>
          <a:spLocks/>
        </xdr:cNvSpPr>
      </xdr:nvSpPr>
      <xdr:spPr>
        <a:xfrm>
          <a:off x="200025" y="3800475"/>
          <a:ext cx="8886825"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xdr:row>
      <xdr:rowOff>114300</xdr:rowOff>
    </xdr:from>
    <xdr:to>
      <xdr:col>8</xdr:col>
      <xdr:colOff>666750</xdr:colOff>
      <xdr:row>45</xdr:row>
      <xdr:rowOff>123825</xdr:rowOff>
    </xdr:to>
    <xdr:sp>
      <xdr:nvSpPr>
        <xdr:cNvPr id="1" name="Rectangle 1"/>
        <xdr:cNvSpPr>
          <a:spLocks/>
        </xdr:cNvSpPr>
      </xdr:nvSpPr>
      <xdr:spPr>
        <a:xfrm>
          <a:off x="180975" y="4019550"/>
          <a:ext cx="8001000" cy="405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(2018),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41</xdr:row>
      <xdr:rowOff>19050</xdr:rowOff>
    </xdr:to>
    <xdr:sp>
      <xdr:nvSpPr>
        <xdr:cNvPr id="1" name="Rectangle 1"/>
        <xdr:cNvSpPr>
          <a:spLocks/>
        </xdr:cNvSpPr>
      </xdr:nvSpPr>
      <xdr:spPr>
        <a:xfrm>
          <a:off x="266700" y="5429250"/>
          <a:ext cx="1054417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Este demonstrativo tem por objetivo avaliar as metas previstas para o exercício da LOA (2022), em comparação com as estabelecidas para os três exercícios anteriores  (2019, 2020 e 2021), bem como para os dois seguintes (2023 e 2024),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2019, 2020 e 2021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2022, 2023 e 2024,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552450</xdr:colOff>
      <xdr:row>59</xdr:row>
      <xdr:rowOff>47625</xdr:rowOff>
    </xdr:to>
    <xdr:sp>
      <xdr:nvSpPr>
        <xdr:cNvPr id="1" name="Rectangle 1"/>
        <xdr:cNvSpPr>
          <a:spLocks/>
        </xdr:cNvSpPr>
      </xdr:nvSpPr>
      <xdr:spPr>
        <a:xfrm>
          <a:off x="142875" y="6162675"/>
          <a:ext cx="6800850" cy="503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(2018, 2019 e 2020), cumprindo, dessa forma, o disposto no art. 4º, </a:t>
          </a:r>
          <a:r>
            <a:rPr lang="en-US" cap="none" sz="1100" b="0" i="0" u="none" baseline="0">
              <a:solidFill>
                <a:srgbClr val="000000"/>
              </a:solidFill>
              <a:latin typeface="Arial"/>
              <a:ea typeface="Arial"/>
              <a:cs typeface="Aria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foram considerados os valores de ajustes de exercícios anteriores,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É preciso enfatizar que o Município segue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41</xdr:row>
      <xdr:rowOff>19050</xdr:rowOff>
    </xdr:to>
    <xdr:sp>
      <xdr:nvSpPr>
        <xdr:cNvPr id="1" name="Rectangle 1"/>
        <xdr:cNvSpPr>
          <a:spLocks/>
        </xdr:cNvSpPr>
      </xdr:nvSpPr>
      <xdr:spPr>
        <a:xfrm>
          <a:off x="104775" y="6296025"/>
          <a:ext cx="6667500" cy="131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(2018,  2019  e 2020).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155</xdr:row>
      <xdr:rowOff>85725</xdr:rowOff>
    </xdr:from>
    <xdr:to>
      <xdr:col>7</xdr:col>
      <xdr:colOff>161925</xdr:colOff>
      <xdr:row>187</xdr:row>
      <xdr:rowOff>0</xdr:rowOff>
    </xdr:to>
    <xdr:sp>
      <xdr:nvSpPr>
        <xdr:cNvPr id="1" name="Rectangle 1"/>
        <xdr:cNvSpPr>
          <a:spLocks/>
        </xdr:cNvSpPr>
      </xdr:nvSpPr>
      <xdr:spPr>
        <a:xfrm>
          <a:off x="247650" y="22231350"/>
          <a:ext cx="6600825" cy="448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Este demonstrativo, visa a atender o estabelecido no art. 4</a:t>
          </a:r>
          <a:r>
            <a:rPr lang="en-US" cap="none" sz="1100" b="0" i="0" u="none" baseline="0">
              <a:solidFill>
                <a:srgbClr val="000000"/>
              </a:solidFill>
              <a:latin typeface="Arial"/>
              <a:ea typeface="Arial"/>
              <a:cs typeface="Arial"/>
            </a:rPr>
            <a:t>°</a:t>
          </a:r>
          <a:r>
            <a:rPr lang="en-US" cap="none" sz="1100" b="0" i="0" u="none" baseline="0">
              <a:solidFill>
                <a:srgbClr val="000000"/>
              </a:solidFill>
            </a:rPr>
            <a:t>, </a:t>
          </a:r>
          <a:r>
            <a:rPr lang="en-US" cap="none" sz="1100" b="0" i="0" u="none" baseline="0">
              <a:solidFill>
                <a:srgbClr val="000000"/>
              </a:solidFill>
              <a:latin typeface="Arial"/>
              <a:ea typeface="Arial"/>
              <a:cs typeface="Arial"/>
            </a:rPr>
            <a:t>§</a:t>
          </a:r>
          <a:r>
            <a:rPr lang="en-US" cap="none" sz="1100" b="0" i="0" u="none" baseline="0">
              <a:solidFill>
                <a:srgbClr val="000000"/>
              </a:solidFill>
            </a:rPr>
            <a:t> 2</a:t>
          </a:r>
          <a:r>
            <a:rPr lang="en-US" cap="none" sz="1100" b="0" i="0" u="none" baseline="0">
              <a:solidFill>
                <a:srgbClr val="000000"/>
              </a:solidFill>
              <a:latin typeface="Arial"/>
              <a:ea typeface="Arial"/>
              <a:cs typeface="Arial"/>
            </a:rPr>
            <a:t>°</a:t>
          </a:r>
          <a:r>
            <a:rPr lang="en-US" cap="none" sz="11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
</a:t>
          </a:r>
          <a:r>
            <a:rPr lang="en-US" cap="none" sz="1100" b="0" i="0" u="none" baseline="0">
              <a:solidFill>
                <a:srgbClr val="000000"/>
              </a:solidFill>
            </a:rPr>
            <a:t> 
</a:t>
          </a:r>
          <a:r>
            <a:rPr lang="en-US" cap="none" sz="11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100" b="0" i="0" u="none" baseline="0">
              <a:solidFill>
                <a:srgbClr val="000000"/>
              </a:solidFill>
            </a:rPr>
            <a:t> 
</a:t>
          </a:r>
          <a:r>
            <a:rPr lang="en-US" cap="none" sz="11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100" b="0" i="0" u="none" baseline="0">
              <a:solidFill>
                <a:srgbClr val="000000"/>
              </a:solidFill>
            </a:rPr>
            <a:t> 
</a:t>
          </a:r>
          <a:r>
            <a:rPr lang="en-US" cap="none" sz="1100" b="0" i="0" u="none" baseline="0">
              <a:solidFill>
                <a:srgbClr val="000000"/>
              </a:solidFill>
            </a:rPr>
            <a:t>Nesse contexto, os dados acima apresentados tiveram em como base:
</a:t>
          </a:r>
          <a:r>
            <a:rPr lang="en-US" cap="none" sz="11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2017, 2018 e 2019; e
</a:t>
          </a:r>
          <a:r>
            <a:rPr lang="en-US" cap="none" sz="1100" b="0" i="0" u="none" baseline="0">
              <a:solidFill>
                <a:srgbClr val="000000"/>
              </a:solidFill>
            </a:rPr>
            <a:t>b) o Anexo 10 do Relatório Resumido da Execução Orçamentária (RREO) - Demonstrativo da Projeção Atuarial do Regime de Previdência, publicado no último bimestre dos exercícios de 2017,2018e 2019.
</a:t>
          </a:r>
          <a:r>
            <a:rPr lang="en-US" cap="none" sz="1100" b="0" i="0" u="none" baseline="0">
              <a:solidFill>
                <a:srgbClr val="000000"/>
              </a:solidFill>
            </a:rPr>
            <a:t> 
</a:t>
          </a:r>
          <a:r>
            <a:rPr lang="en-US" cap="none" sz="1100" b="0" i="0" u="none" baseline="0">
              <a:solidFill>
                <a:srgbClr val="000000"/>
              </a:solidFill>
            </a:rPr>
            <a:t>Os valores informados na linha "Bens e Direitos do RPPS", correspondem ao saldo das disponibilidades financeiras e investimentos do RPPS, representado pelas disponibilidades em Caixa e Equivalentes de Caixa, Investimentos e Aplicações e outros bens e direitos, de acordo com o Plano de Contas Aplicado ao Setor Público (PCASP).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7">
      <selection activeCell="A9" sqref="A9:J9"/>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493" t="s">
        <v>659</v>
      </c>
      <c r="B7" s="494"/>
      <c r="C7" s="494"/>
      <c r="D7" s="494"/>
      <c r="E7" s="494"/>
      <c r="F7" s="494"/>
      <c r="G7" s="494"/>
      <c r="H7" s="494"/>
      <c r="I7" s="494"/>
      <c r="J7" s="495"/>
    </row>
    <row r="8" spans="1:10" ht="12">
      <c r="A8" s="496" t="s">
        <v>702</v>
      </c>
      <c r="B8" s="494"/>
      <c r="C8" s="494"/>
      <c r="D8" s="494"/>
      <c r="E8" s="494"/>
      <c r="F8" s="494"/>
      <c r="G8" s="494"/>
      <c r="H8" s="494"/>
      <c r="I8" s="494"/>
      <c r="J8" s="495"/>
    </row>
    <row r="9" spans="1:10" ht="21" customHeight="1">
      <c r="A9" s="497" t="s">
        <v>637</v>
      </c>
      <c r="B9" s="498"/>
      <c r="C9" s="498"/>
      <c r="D9" s="498"/>
      <c r="E9" s="498"/>
      <c r="F9" s="498"/>
      <c r="G9" s="498"/>
      <c r="H9" s="499"/>
      <c r="I9" s="499"/>
      <c r="J9" s="500"/>
    </row>
    <row r="10" spans="1:10" ht="25.5" customHeight="1">
      <c r="A10" s="400" t="s">
        <v>508</v>
      </c>
      <c r="B10" s="400">
        <v>2018</v>
      </c>
      <c r="C10" s="400">
        <f>B10+1</f>
        <v>2019</v>
      </c>
      <c r="D10" s="400">
        <f>C10+1</f>
        <v>2020</v>
      </c>
      <c r="E10" s="400">
        <f>D10+1</f>
        <v>2021</v>
      </c>
      <c r="F10" s="400">
        <f>E10+1</f>
        <v>2022</v>
      </c>
      <c r="G10" s="400">
        <f>F10+1</f>
        <v>2023</v>
      </c>
      <c r="H10" s="38"/>
      <c r="I10" s="38"/>
      <c r="J10" s="38"/>
    </row>
    <row r="11" spans="1:7" ht="12.75">
      <c r="A11" s="401" t="s">
        <v>132</v>
      </c>
      <c r="B11" s="402">
        <v>0.0375</v>
      </c>
      <c r="C11" s="403">
        <v>0.0431</v>
      </c>
      <c r="D11" s="403">
        <v>0.0169</v>
      </c>
      <c r="E11" s="410">
        <v>0.0305</v>
      </c>
      <c r="F11" s="410">
        <v>0.0343</v>
      </c>
      <c r="G11" s="410">
        <v>0.0332</v>
      </c>
    </row>
    <row r="12" spans="1:7" ht="12.75">
      <c r="A12" s="401" t="s">
        <v>133</v>
      </c>
      <c r="B12" s="402">
        <v>0.0112</v>
      </c>
      <c r="C12" s="403">
        <v>0.011</v>
      </c>
      <c r="D12" s="403">
        <v>-0.0596</v>
      </c>
      <c r="E12" s="410">
        <v>0.0338</v>
      </c>
      <c r="F12" s="410">
        <v>0.0253</v>
      </c>
      <c r="G12" s="410">
        <v>0.0245</v>
      </c>
    </row>
    <row r="13" spans="1:7" ht="12.75">
      <c r="A13" s="404" t="s">
        <v>134</v>
      </c>
      <c r="B13" s="473">
        <f>IF(Projeções!C118=0,"0",((Projeções!D118/Projeções!C118)-1)-B11-B18)</f>
        <v>0.030622531561564338</v>
      </c>
      <c r="C13" s="473">
        <f>IF(Projeções!D118=0,"0",((Projeções!E118/Projeções!D118)-1)-C11-C18)</f>
        <v>0.026063528602602665</v>
      </c>
      <c r="D13" s="473">
        <f>IF(Projeções!E118=0,"0",((Projeções!F118/Projeções!E118)-1)-D11-D18)</f>
        <v>0.010943535155433587</v>
      </c>
      <c r="E13" s="403">
        <f aca="true" t="shared" si="0" ref="E13:G20">(B13+C13+D13)/3</f>
        <v>0.022543198439866862</v>
      </c>
      <c r="F13" s="403">
        <f t="shared" si="0"/>
        <v>0.01985008739930104</v>
      </c>
      <c r="G13" s="403">
        <f t="shared" si="0"/>
        <v>0.01777894033153383</v>
      </c>
    </row>
    <row r="14" spans="1:7" ht="12.75">
      <c r="A14" s="406" t="s">
        <v>135</v>
      </c>
      <c r="B14" s="473">
        <f>IF(Projeções!C128=0,"0",((Projeções!D128/Projeções!C128)-1)-B11-B12)</f>
        <v>0.17289001811497526</v>
      </c>
      <c r="C14" s="473">
        <f>IF(Projeções!D128=0,"0",((Projeções!E128/Projeções!D128)-1)-C11-C12)</f>
        <v>-0.06671751010246714</v>
      </c>
      <c r="D14" s="473">
        <f>IF(Projeções!E128=0,"0",((Projeções!F128/Projeções!E128)-1)-D11-D12)</f>
        <v>0.24749160215464056</v>
      </c>
      <c r="E14" s="403">
        <f t="shared" si="0"/>
        <v>0.11788803672238289</v>
      </c>
      <c r="F14" s="403">
        <f t="shared" si="0"/>
        <v>0.0995540429248521</v>
      </c>
      <c r="G14" s="403">
        <f t="shared" si="0"/>
        <v>0.15497789393395853</v>
      </c>
    </row>
    <row r="15" spans="1:7" ht="12.75">
      <c r="A15" s="406" t="s">
        <v>136</v>
      </c>
      <c r="B15" s="473">
        <f>IF(Projeções!C9=0,"0",((Projeções!D9/Projeções!C9)-1)-B11-B12)</f>
        <v>0.08242971288435759</v>
      </c>
      <c r="C15" s="473">
        <f>IF(Projeções!D9=0,"0",((Projeções!E9/Projeções!D9)-1)-C11-C12)</f>
        <v>0.0367178379504383</v>
      </c>
      <c r="D15" s="473">
        <f>IF(Projeções!E9=0,"0",((Projeções!F9/Projeções!E9)-1)-D11-D12)</f>
        <v>0.2820683020342281</v>
      </c>
      <c r="E15" s="403">
        <f t="shared" si="0"/>
        <v>0.133738617623008</v>
      </c>
      <c r="F15" s="403">
        <f t="shared" si="0"/>
        <v>0.1508415858692248</v>
      </c>
      <c r="G15" s="403">
        <f t="shared" si="0"/>
        <v>0.18888283517548698</v>
      </c>
    </row>
    <row r="16" spans="1:7" ht="12.75">
      <c r="A16" s="406" t="s">
        <v>384</v>
      </c>
      <c r="B16" s="473">
        <f>IF(Projeções!C40=0,"0",((Projeções!D40/Projeções!C40)-1)-B11-B12)</f>
        <v>0.06272570636594428</v>
      </c>
      <c r="C16" s="473">
        <f>IF(Projeções!D40=0,"0",((Projeções!E40/Projeções!D40)-1)-C11-C12)</f>
        <v>0.04477514506488038</v>
      </c>
      <c r="D16" s="473">
        <f>IF(Projeções!E40=0,"0",((Projeções!F40/Projeções!E40)-1)-D11-D12)</f>
        <v>0.09279971699145566</v>
      </c>
      <c r="E16" s="403">
        <f t="shared" si="0"/>
        <v>0.06676685614076011</v>
      </c>
      <c r="F16" s="403">
        <f t="shared" si="0"/>
        <v>0.06811390606569871</v>
      </c>
      <c r="G16" s="403">
        <f t="shared" si="0"/>
        <v>0.0758934930659715</v>
      </c>
    </row>
    <row r="17" spans="1:7" ht="12.75">
      <c r="A17" s="406" t="s">
        <v>385</v>
      </c>
      <c r="B17" s="473">
        <f>IF(Projeções!C51=0,"0",((Projeções!D51/Projeções!C51)-1)-B11-B12)</f>
        <v>0.005226885414838478</v>
      </c>
      <c r="C17" s="473">
        <f>IF(Projeções!D51=0,"0",((Projeções!E51/Projeções!D51)-1)-C11-C12)</f>
        <v>-0.020072054114359934</v>
      </c>
      <c r="D17" s="473">
        <f>IF(Projeções!E51=0,"0",((Projeções!F51/Projeções!E51)-1)-D11-D12)</f>
        <v>0.1893501582994071</v>
      </c>
      <c r="E17" s="403">
        <f t="shared" si="0"/>
        <v>0.058168329866628544</v>
      </c>
      <c r="F17" s="403">
        <f t="shared" si="0"/>
        <v>0.07581547801722523</v>
      </c>
      <c r="G17" s="403">
        <f t="shared" si="0"/>
        <v>0.10777798872775363</v>
      </c>
    </row>
    <row r="18" spans="1:7" ht="12.75">
      <c r="A18" s="401" t="s">
        <v>386</v>
      </c>
      <c r="B18" s="411">
        <v>0</v>
      </c>
      <c r="C18" s="411">
        <v>0</v>
      </c>
      <c r="D18" s="411">
        <v>0</v>
      </c>
      <c r="E18" s="410">
        <v>0</v>
      </c>
      <c r="F18" s="410">
        <v>0</v>
      </c>
      <c r="G18" s="410">
        <v>0</v>
      </c>
    </row>
    <row r="19" spans="1:7" ht="12.75">
      <c r="A19" s="401" t="s">
        <v>387</v>
      </c>
      <c r="B19" s="411">
        <v>0</v>
      </c>
      <c r="C19" s="411">
        <v>0</v>
      </c>
      <c r="D19" s="411">
        <v>0</v>
      </c>
      <c r="E19" s="411">
        <v>0</v>
      </c>
      <c r="F19" s="411">
        <v>0</v>
      </c>
      <c r="G19" s="411">
        <v>0</v>
      </c>
    </row>
    <row r="20" spans="1:7" ht="12.75">
      <c r="A20" s="407" t="s">
        <v>143</v>
      </c>
      <c r="B20" s="473">
        <f>IF(Projeções!C134=0,"0",((Projeções!D134/Projeções!C134)-1)-B11-B12)</f>
        <v>-0.6023072694626209</v>
      </c>
      <c r="C20" s="473">
        <f>IF(Projeções!D134=0,"0",((Projeções!E134/Projeções!D134)-1)-C11-C12)</f>
        <v>2.91216799050381</v>
      </c>
      <c r="D20" s="473">
        <f>IF(Projeções!E134=0,"0",((Projeções!F134/Projeções!E134)-1)-D11-D12)</f>
        <v>-0.7486808836195131</v>
      </c>
      <c r="E20" s="403">
        <f t="shared" si="0"/>
        <v>0.5203932791405587</v>
      </c>
      <c r="F20" s="403">
        <f t="shared" si="0"/>
        <v>0.8946267953416185</v>
      </c>
      <c r="G20" s="403">
        <f t="shared" si="0"/>
        <v>0.222113063620888</v>
      </c>
    </row>
    <row r="21" spans="1:7" ht="12.75">
      <c r="A21" s="407" t="s">
        <v>213</v>
      </c>
      <c r="B21" s="405">
        <v>0.065</v>
      </c>
      <c r="C21" s="405">
        <v>0.049</v>
      </c>
      <c r="D21" s="403">
        <v>0.0267</v>
      </c>
      <c r="E21" s="410">
        <v>0.0235</v>
      </c>
      <c r="F21" s="410">
        <v>0.0436</v>
      </c>
      <c r="G21" s="410">
        <v>0.0544</v>
      </c>
    </row>
    <row r="22" spans="1:7" ht="12.75">
      <c r="A22" s="407" t="s">
        <v>653</v>
      </c>
      <c r="B22" s="408">
        <v>3.65</v>
      </c>
      <c r="C22" s="408">
        <v>3.94</v>
      </c>
      <c r="D22" s="409">
        <v>5.14</v>
      </c>
      <c r="E22" s="399">
        <v>5.03</v>
      </c>
      <c r="F22" s="399">
        <v>4.78</v>
      </c>
      <c r="G22" s="399">
        <v>4.75</v>
      </c>
    </row>
    <row r="23" spans="1:7" ht="14.25">
      <c r="A23" s="47"/>
      <c r="B23" s="47"/>
      <c r="C23" s="13"/>
      <c r="D23" s="13"/>
      <c r="E23" s="13"/>
      <c r="F23" s="13"/>
      <c r="G23" s="13"/>
    </row>
    <row r="24" spans="1:7" ht="12">
      <c r="A24" s="491"/>
      <c r="B24" s="492"/>
      <c r="C24" s="492"/>
      <c r="D24" s="492"/>
      <c r="E24" s="492"/>
      <c r="F24" s="492"/>
      <c r="G24" s="492"/>
    </row>
    <row r="25" spans="1:8" ht="12">
      <c r="A25" s="492"/>
      <c r="B25" s="492"/>
      <c r="C25" s="492"/>
      <c r="D25" s="492"/>
      <c r="E25" s="492"/>
      <c r="F25" s="492"/>
      <c r="G25" s="492"/>
      <c r="H25" s="41"/>
    </row>
    <row r="26" spans="1:8" ht="12">
      <c r="A26" s="492"/>
      <c r="B26" s="492"/>
      <c r="C26" s="492"/>
      <c r="D26" s="492"/>
      <c r="E26" s="492"/>
      <c r="F26" s="492"/>
      <c r="G26" s="492"/>
      <c r="H26" s="41"/>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300" verticalDpi="3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3">
    <tabColor rgb="FFFFFF00"/>
    <pageSetUpPr fitToPage="1"/>
  </sheetPr>
  <dimension ref="A1:L31"/>
  <sheetViews>
    <sheetView zoomScaleSheetLayoutView="100" zoomScalePageLayoutView="0" workbookViewId="0" topLeftCell="A1">
      <selection activeCell="A5" sqref="A5:L5"/>
    </sheetView>
  </sheetViews>
  <sheetFormatPr defaultColWidth="9.140625" defaultRowHeight="12.75"/>
  <cols>
    <col min="1" max="1" width="25.28125" style="11" customWidth="1"/>
    <col min="2" max="2" width="14.28125" style="11" customWidth="1"/>
    <col min="3" max="3" width="13.57421875" style="11" customWidth="1"/>
    <col min="4" max="4" width="12.57421875" style="11" customWidth="1"/>
    <col min="5" max="5" width="14.281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537" t="str">
        <f>Parâmetros!A7</f>
        <v>Município de : Tavares</v>
      </c>
      <c r="B1" s="538"/>
      <c r="C1" s="538"/>
      <c r="D1" s="538"/>
      <c r="E1" s="538"/>
      <c r="F1" s="538"/>
      <c r="G1" s="538"/>
      <c r="H1" s="538"/>
      <c r="I1" s="538"/>
      <c r="J1" s="538"/>
      <c r="K1" s="538"/>
      <c r="L1" s="539"/>
    </row>
    <row r="2" spans="1:12" ht="12.75">
      <c r="A2" s="540" t="s">
        <v>706</v>
      </c>
      <c r="B2" s="538"/>
      <c r="C2" s="538"/>
      <c r="D2" s="538"/>
      <c r="E2" s="538"/>
      <c r="F2" s="538"/>
      <c r="G2" s="538"/>
      <c r="H2" s="538"/>
      <c r="I2" s="538"/>
      <c r="J2" s="538"/>
      <c r="K2" s="538"/>
      <c r="L2" s="539"/>
    </row>
    <row r="3" spans="1:12" ht="12.75">
      <c r="A3" s="540" t="str">
        <f>'Metas Cons'!A3:M3</f>
        <v>ANEXO DE METAS FISCAIS</v>
      </c>
      <c r="B3" s="538"/>
      <c r="C3" s="538"/>
      <c r="D3" s="538"/>
      <c r="E3" s="538"/>
      <c r="F3" s="538"/>
      <c r="G3" s="538"/>
      <c r="H3" s="538"/>
      <c r="I3" s="538"/>
      <c r="J3" s="538"/>
      <c r="K3" s="538"/>
      <c r="L3" s="539"/>
    </row>
    <row r="4" spans="1:12" ht="12.75">
      <c r="A4" s="541" t="s">
        <v>126</v>
      </c>
      <c r="B4" s="542"/>
      <c r="C4" s="542"/>
      <c r="D4" s="542"/>
      <c r="E4" s="542"/>
      <c r="F4" s="542"/>
      <c r="G4" s="542"/>
      <c r="H4" s="542"/>
      <c r="I4" s="542"/>
      <c r="J4" s="542"/>
      <c r="K4" s="542"/>
      <c r="L4" s="543"/>
    </row>
    <row r="5" spans="1:12" ht="12.75">
      <c r="A5" s="540" t="s">
        <v>686</v>
      </c>
      <c r="B5" s="538"/>
      <c r="C5" s="538"/>
      <c r="D5" s="538"/>
      <c r="E5" s="538"/>
      <c r="F5" s="538"/>
      <c r="G5" s="538"/>
      <c r="H5" s="538"/>
      <c r="I5" s="538"/>
      <c r="J5" s="538"/>
      <c r="K5" s="538"/>
      <c r="L5" s="539"/>
    </row>
    <row r="6" spans="1:12" ht="12.75">
      <c r="A6" s="540"/>
      <c r="B6" s="538"/>
      <c r="C6" s="538"/>
      <c r="D6" s="538"/>
      <c r="E6" s="538"/>
      <c r="F6" s="538"/>
      <c r="G6" s="538"/>
      <c r="H6" s="538"/>
      <c r="I6" s="538"/>
      <c r="J6" s="538"/>
      <c r="K6" s="538"/>
      <c r="L6" s="539"/>
    </row>
    <row r="7" spans="1:12" ht="12.75">
      <c r="A7" s="606" t="s">
        <v>500</v>
      </c>
      <c r="B7" s="607"/>
      <c r="C7" s="56"/>
      <c r="D7" s="56"/>
      <c r="E7" s="56"/>
      <c r="F7" s="56"/>
      <c r="G7" s="56"/>
      <c r="H7" s="56"/>
      <c r="I7" s="56"/>
      <c r="J7" s="56"/>
      <c r="K7" s="56"/>
      <c r="L7" s="57">
        <v>1</v>
      </c>
    </row>
    <row r="8" spans="1:12" ht="15.75" customHeight="1">
      <c r="A8" s="53" t="s">
        <v>56</v>
      </c>
      <c r="B8" s="602" t="s">
        <v>79</v>
      </c>
      <c r="C8" s="603"/>
      <c r="D8" s="603"/>
      <c r="E8" s="603"/>
      <c r="F8" s="603"/>
      <c r="G8" s="603"/>
      <c r="H8" s="603"/>
      <c r="I8" s="603"/>
      <c r="J8" s="603"/>
      <c r="K8" s="603"/>
      <c r="L8" s="603"/>
    </row>
    <row r="9" spans="1:12" s="12" customFormat="1" ht="15.75" customHeight="1">
      <c r="A9" s="604"/>
      <c r="B9" s="550">
        <v>2019</v>
      </c>
      <c r="C9" s="550">
        <f>B9+1</f>
        <v>2020</v>
      </c>
      <c r="D9" s="550" t="s">
        <v>119</v>
      </c>
      <c r="E9" s="550">
        <f>C9+1</f>
        <v>2021</v>
      </c>
      <c r="F9" s="550" t="s">
        <v>119</v>
      </c>
      <c r="G9" s="553">
        <f>E9+1</f>
        <v>2022</v>
      </c>
      <c r="H9" s="553" t="s">
        <v>119</v>
      </c>
      <c r="I9" s="553">
        <f>G9+1</f>
        <v>2023</v>
      </c>
      <c r="J9" s="553" t="s">
        <v>120</v>
      </c>
      <c r="K9" s="553">
        <f>I9+1</f>
        <v>2024</v>
      </c>
      <c r="L9" s="596" t="s">
        <v>119</v>
      </c>
    </row>
    <row r="10" spans="1:12" s="12" customFormat="1" ht="15.75" customHeight="1">
      <c r="A10" s="605"/>
      <c r="B10" s="552"/>
      <c r="C10" s="552"/>
      <c r="D10" s="552"/>
      <c r="E10" s="552"/>
      <c r="F10" s="552"/>
      <c r="G10" s="555"/>
      <c r="H10" s="555"/>
      <c r="I10" s="555"/>
      <c r="J10" s="555"/>
      <c r="K10" s="555"/>
      <c r="L10" s="598"/>
    </row>
    <row r="11" spans="1:12" ht="12.75">
      <c r="A11" s="388" t="s">
        <v>80</v>
      </c>
      <c r="B11" s="112">
        <v>17221887.66</v>
      </c>
      <c r="C11" s="417">
        <f>' Avaliação'!B11</f>
        <v>20060661.17</v>
      </c>
      <c r="D11" s="422">
        <f aca="true" t="shared" si="0" ref="D11:D18">IF(B11=0,"0",(C11/B11)-1)</f>
        <v>0.16483521237880394</v>
      </c>
      <c r="E11" s="112">
        <v>20387000</v>
      </c>
      <c r="F11" s="422">
        <f aca="true" t="shared" si="1" ref="F11:F18">IF(C11=0,"0",(E11/C11)-1)</f>
        <v>0.016267600914770863</v>
      </c>
      <c r="G11" s="423">
        <f>'Metas Cons'!B11</f>
        <v>23211300</v>
      </c>
      <c r="H11" s="424">
        <f>IF(E11=0,"0",(G11/E11)-1)</f>
        <v>0.13853436013145637</v>
      </c>
      <c r="I11" s="423">
        <f>'Metas Cons'!F11</f>
        <v>23788111.87802509</v>
      </c>
      <c r="J11" s="422">
        <f>IF(G11=0,"-",(I11/G11)-1)</f>
        <v>0.02485047705320631</v>
      </c>
      <c r="K11" s="423">
        <f>'Metas Cons'!J11</f>
        <v>25181350.531880524</v>
      </c>
      <c r="L11" s="422">
        <f>IF(I11=0,"-",(K11/I11)-1)</f>
        <v>0.058568694354530715</v>
      </c>
    </row>
    <row r="12" spans="1:12" ht="12.75">
      <c r="A12" s="388" t="s">
        <v>127</v>
      </c>
      <c r="B12" s="112">
        <f>B11-49250-100-1700</f>
        <v>17170837.66</v>
      </c>
      <c r="C12" s="417">
        <f>' Avaliação'!B12</f>
        <v>18509092.37</v>
      </c>
      <c r="D12" s="422">
        <f t="shared" si="0"/>
        <v>0.07793764850025386</v>
      </c>
      <c r="E12" s="112">
        <v>19431777.17</v>
      </c>
      <c r="F12" s="422">
        <f t="shared" si="1"/>
        <v>0.04985035362919854</v>
      </c>
      <c r="G12" s="423">
        <f>'Metas Cons'!B12</f>
        <v>23032060</v>
      </c>
      <c r="H12" s="424">
        <f aca="true" t="shared" si="2" ref="H12:H18">IF(E12=0,"0",(G12/E12)-1)</f>
        <v>0.18527810392753685</v>
      </c>
      <c r="I12" s="423">
        <f>'Metas Cons'!F12</f>
        <v>23717831.09786949</v>
      </c>
      <c r="J12" s="422">
        <f aca="true" t="shared" si="3" ref="J12:J18">IF(G12=0,"-",(I12/G12)-1)</f>
        <v>0.029774631442844868</v>
      </c>
      <c r="K12" s="423">
        <f>'Metas Cons'!J12</f>
        <v>25107028.07477734</v>
      </c>
      <c r="L12" s="422">
        <f aca="true" t="shared" si="4" ref="L12:L18">IF(I12=0,"-",(K12/I12)-1)</f>
        <v>0.05857183868016658</v>
      </c>
    </row>
    <row r="13" spans="1:12" ht="12.75">
      <c r="A13" s="388" t="s">
        <v>81</v>
      </c>
      <c r="B13" s="112">
        <f>B11</f>
        <v>17221887.66</v>
      </c>
      <c r="C13" s="417">
        <f>' Avaliação'!B13</f>
        <v>20060661.17</v>
      </c>
      <c r="D13" s="422">
        <f t="shared" si="0"/>
        <v>0.16483521237880394</v>
      </c>
      <c r="E13" s="112">
        <f>E11</f>
        <v>20387000</v>
      </c>
      <c r="F13" s="422">
        <f t="shared" si="1"/>
        <v>0.016267600914770863</v>
      </c>
      <c r="G13" s="423">
        <f>'Metas Cons'!B13</f>
        <v>22547551</v>
      </c>
      <c r="H13" s="424">
        <f t="shared" si="2"/>
        <v>0.10597689704223279</v>
      </c>
      <c r="I13" s="423">
        <f>'Metas Cons'!F13</f>
        <v>23047763.69110461</v>
      </c>
      <c r="J13" s="422">
        <f t="shared" si="3"/>
        <v>0.02218479031734355</v>
      </c>
      <c r="K13" s="423">
        <f>'Metas Cons'!J13</f>
        <v>23229077.991802443</v>
      </c>
      <c r="L13" s="422">
        <f t="shared" si="4"/>
        <v>0.007866893427400656</v>
      </c>
    </row>
    <row r="14" spans="1:12" ht="12.75">
      <c r="A14" s="388" t="s">
        <v>122</v>
      </c>
      <c r="B14" s="112">
        <f>B13-10400-1200-53300</f>
        <v>17156987.66</v>
      </c>
      <c r="C14" s="417">
        <f>' Avaliação'!B14</f>
        <v>19917674.28</v>
      </c>
      <c r="D14" s="422">
        <f t="shared" si="0"/>
        <v>0.16090742003832625</v>
      </c>
      <c r="E14" s="112">
        <v>20279890</v>
      </c>
      <c r="F14" s="422">
        <f t="shared" si="1"/>
        <v>0.01818564330895356</v>
      </c>
      <c r="G14" s="423">
        <f>'Metas Cons'!B14</f>
        <v>22284951</v>
      </c>
      <c r="H14" s="424">
        <f t="shared" si="2"/>
        <v>0.09886942187556236</v>
      </c>
      <c r="I14" s="423">
        <f>'Metas Cons'!F14</f>
        <v>22775130.72110461</v>
      </c>
      <c r="J14" s="422">
        <f t="shared" si="3"/>
        <v>0.021995997258625888</v>
      </c>
      <c r="K14" s="423">
        <f>'Metas Cons'!J14</f>
        <v>22944953.294702448</v>
      </c>
      <c r="L14" s="422">
        <f t="shared" si="4"/>
        <v>0.007456491717980462</v>
      </c>
    </row>
    <row r="15" spans="1:12" ht="12.75">
      <c r="A15" s="388" t="s">
        <v>82</v>
      </c>
      <c r="B15" s="417">
        <f>B12-B14</f>
        <v>13850</v>
      </c>
      <c r="C15" s="417">
        <f>' Avaliação'!B15</f>
        <v>-1408581.9100000001</v>
      </c>
      <c r="D15" s="422">
        <f t="shared" si="0"/>
        <v>-102.70266498194947</v>
      </c>
      <c r="E15" s="417">
        <f>E12-E14</f>
        <v>-848112.8299999982</v>
      </c>
      <c r="F15" s="422">
        <f t="shared" si="1"/>
        <v>-0.39789598036226514</v>
      </c>
      <c r="G15" s="423">
        <f>G12-G14</f>
        <v>747109</v>
      </c>
      <c r="H15" s="424">
        <f t="shared" si="2"/>
        <v>-1.8809075556609627</v>
      </c>
      <c r="I15" s="423">
        <f>I12-I14</f>
        <v>942700.3767648786</v>
      </c>
      <c r="J15" s="422">
        <f t="shared" si="3"/>
        <v>0.26179764500879865</v>
      </c>
      <c r="K15" s="423">
        <f>K12-K14</f>
        <v>2162074.7800748907</v>
      </c>
      <c r="L15" s="422">
        <f t="shared" si="4"/>
        <v>1.2934909472452025</v>
      </c>
    </row>
    <row r="16" spans="1:12" ht="12.75">
      <c r="A16" s="388" t="s">
        <v>83</v>
      </c>
      <c r="B16" s="113">
        <v>1582198.22</v>
      </c>
      <c r="C16" s="417">
        <f>' Avaliação'!B16</f>
        <v>897147.09</v>
      </c>
      <c r="D16" s="422">
        <f t="shared" si="0"/>
        <v>-0.4329742767628698</v>
      </c>
      <c r="E16" s="474">
        <v>-191302.19</v>
      </c>
      <c r="F16" s="422">
        <f t="shared" si="1"/>
        <v>-1.2132339190890091</v>
      </c>
      <c r="G16" s="423">
        <f>'Metas Cons'!B16</f>
        <v>761665.8652166667</v>
      </c>
      <c r="H16" s="424">
        <f t="shared" si="2"/>
        <v>-4.981480113827587</v>
      </c>
      <c r="I16" s="423">
        <f>'Metas Cons'!F16</f>
        <v>941591.971019583</v>
      </c>
      <c r="J16" s="422">
        <f t="shared" si="3"/>
        <v>0.23622708331787168</v>
      </c>
      <c r="K16" s="423">
        <f>'Metas Cons'!J16</f>
        <v>2143602.0152384285</v>
      </c>
      <c r="L16" s="422">
        <f t="shared" si="4"/>
        <v>1.276572104706112</v>
      </c>
    </row>
    <row r="17" spans="1:12" ht="12.75">
      <c r="A17" s="388" t="s">
        <v>84</v>
      </c>
      <c r="B17" s="474">
        <v>369604.59</v>
      </c>
      <c r="C17" s="417">
        <f>' Avaliação'!B17</f>
        <v>297313.21</v>
      </c>
      <c r="D17" s="422">
        <f t="shared" si="0"/>
        <v>-0.19559113159281927</v>
      </c>
      <c r="E17" s="474">
        <v>821802.37</v>
      </c>
      <c r="F17" s="422">
        <f t="shared" si="1"/>
        <v>1.7640963884517609</v>
      </c>
      <c r="G17" s="423">
        <f>'Metas Cons'!B17</f>
        <v>736043.6066666668</v>
      </c>
      <c r="H17" s="424">
        <f t="shared" si="2"/>
        <v>-0.10435448529228897</v>
      </c>
      <c r="I17" s="423">
        <f>'Metas Cons'!F17</f>
        <v>882287.0722222222</v>
      </c>
      <c r="J17" s="422">
        <f t="shared" si="3"/>
        <v>0.198688588870231</v>
      </c>
      <c r="K17" s="423">
        <f>'Metas Cons'!J17</f>
        <v>902448.6396296296</v>
      </c>
      <c r="L17" s="422">
        <f t="shared" si="4"/>
        <v>0.022851482292068903</v>
      </c>
    </row>
    <row r="18" spans="1:12" ht="12.75">
      <c r="A18" s="389" t="s">
        <v>78</v>
      </c>
      <c r="B18" s="475">
        <v>-1483041.65</v>
      </c>
      <c r="C18" s="417">
        <f>' Avaliação'!B18</f>
        <v>-2474197.77</v>
      </c>
      <c r="D18" s="422">
        <f t="shared" si="0"/>
        <v>0.668326557113214</v>
      </c>
      <c r="E18" s="475">
        <v>-2385967.87</v>
      </c>
      <c r="F18" s="422">
        <f t="shared" si="1"/>
        <v>-0.03566000304009642</v>
      </c>
      <c r="G18" s="423">
        <f>'Metas Cons'!B18</f>
        <v>-2883820.6566666663</v>
      </c>
      <c r="H18" s="424">
        <f t="shared" si="2"/>
        <v>0.2086586298694233</v>
      </c>
      <c r="I18" s="423">
        <f>'Metas Cons'!F18</f>
        <v>-3020361.618888889</v>
      </c>
      <c r="J18" s="422">
        <f t="shared" si="3"/>
        <v>0.04734724467229756</v>
      </c>
      <c r="K18" s="423">
        <f>'Metas Cons'!J18</f>
        <v>-3231826.2018518527</v>
      </c>
      <c r="L18" s="422">
        <f t="shared" si="4"/>
        <v>0.07001300163546498</v>
      </c>
    </row>
    <row r="19" spans="1:12" ht="12.75">
      <c r="A19" s="603"/>
      <c r="B19" s="603"/>
      <c r="C19" s="603"/>
      <c r="D19" s="603"/>
      <c r="E19" s="603"/>
      <c r="F19" s="603"/>
      <c r="G19" s="603"/>
      <c r="H19" s="603"/>
      <c r="I19" s="603"/>
      <c r="J19" s="603"/>
      <c r="K19" s="603"/>
      <c r="L19" s="603"/>
    </row>
    <row r="20" spans="1:12" ht="15.75" customHeight="1">
      <c r="A20" s="379" t="s">
        <v>56</v>
      </c>
      <c r="B20" s="602" t="s">
        <v>85</v>
      </c>
      <c r="C20" s="603"/>
      <c r="D20" s="603"/>
      <c r="E20" s="603"/>
      <c r="F20" s="603"/>
      <c r="G20" s="603"/>
      <c r="H20" s="603"/>
      <c r="I20" s="603"/>
      <c r="J20" s="603"/>
      <c r="K20" s="603"/>
      <c r="L20" s="603"/>
    </row>
    <row r="21" spans="1:12" s="12" customFormat="1" ht="15.75" customHeight="1">
      <c r="A21" s="604"/>
      <c r="B21" s="550">
        <v>2019</v>
      </c>
      <c r="C21" s="550">
        <f>B21+1</f>
        <v>2020</v>
      </c>
      <c r="D21" s="550" t="s">
        <v>119</v>
      </c>
      <c r="E21" s="550">
        <f>C21+1</f>
        <v>2021</v>
      </c>
      <c r="F21" s="553" t="s">
        <v>119</v>
      </c>
      <c r="G21" s="553">
        <f>E21+1</f>
        <v>2022</v>
      </c>
      <c r="H21" s="553" t="s">
        <v>119</v>
      </c>
      <c r="I21" s="553">
        <f>G21+1</f>
        <v>2023</v>
      </c>
      <c r="J21" s="553" t="s">
        <v>119</v>
      </c>
      <c r="K21" s="553">
        <f>I21+1</f>
        <v>2024</v>
      </c>
      <c r="L21" s="596" t="s">
        <v>119</v>
      </c>
    </row>
    <row r="22" spans="1:12" s="12" customFormat="1" ht="15.75" customHeight="1">
      <c r="A22" s="605"/>
      <c r="B22" s="552"/>
      <c r="C22" s="552"/>
      <c r="D22" s="552"/>
      <c r="E22" s="552"/>
      <c r="F22" s="555"/>
      <c r="G22" s="555"/>
      <c r="H22" s="555"/>
      <c r="I22" s="555"/>
      <c r="J22" s="555"/>
      <c r="K22" s="555"/>
      <c r="L22" s="598"/>
    </row>
    <row r="23" spans="1:12" ht="12.75">
      <c r="A23" s="388" t="s">
        <v>80</v>
      </c>
      <c r="B23" s="423">
        <f>B11*((1+Parâmetros!C11)*(1+Parâmetros!D11))</f>
        <v>18267745.170352664</v>
      </c>
      <c r="C23" s="417">
        <f>C11*(1+Parâmetros!D11)</f>
        <v>20399686.343773</v>
      </c>
      <c r="D23" s="422">
        <f>IF(B23=0,"-",(C23/B23)-1)</f>
        <v>0.11670521750436591</v>
      </c>
      <c r="E23" s="417">
        <f>E11</f>
        <v>20387000</v>
      </c>
      <c r="F23" s="422">
        <f>IF(C23=0,"-",(E23/C23)-1)</f>
        <v>-0.0006218891584512942</v>
      </c>
      <c r="G23" s="423">
        <f>'Metas Cons'!C11</f>
        <v>22524308.58806405</v>
      </c>
      <c r="H23" s="422">
        <f>IF(E23=0,"-",(G23/E23)-1)</f>
        <v>0.10483683661470788</v>
      </c>
      <c r="I23" s="423">
        <f>'Metas Cons'!G11</f>
        <v>22318523.060786106</v>
      </c>
      <c r="J23" s="422">
        <f>IF(G23=0,"-",(I23/G23)-1)</f>
        <v>-0.009136152902246786</v>
      </c>
      <c r="K23" s="423">
        <f>'Metas Cons'!K11</f>
        <v>22866521.30892164</v>
      </c>
      <c r="L23" s="422">
        <f>IF(I23=0,"-",(K23/I23)-1)</f>
        <v>0.024553517571168193</v>
      </c>
    </row>
    <row r="24" spans="1:12" ht="12.75">
      <c r="A24" s="388" t="s">
        <v>127</v>
      </c>
      <c r="B24" s="423">
        <f>B12*((1+Parâmetros!C11)*(1+Parâmetros!D11))</f>
        <v>18213594.986043163</v>
      </c>
      <c r="C24" s="417">
        <f>C12*(1+Parâmetros!D11)</f>
        <v>18821896.031053</v>
      </c>
      <c r="D24" s="422">
        <f aca="true" t="shared" si="5" ref="D24:D30">IF(B24=0,"-",(C24/B24)-1)</f>
        <v>0.03339818665540606</v>
      </c>
      <c r="E24" s="417">
        <f>E12</f>
        <v>19431777.17</v>
      </c>
      <c r="F24" s="422">
        <f>IF(C24=0,"-",(E24/C24)-1)</f>
        <v>0.03240274720149339</v>
      </c>
      <c r="G24" s="425">
        <f>'Metas Cons'!C12</f>
        <v>22350373.605046093</v>
      </c>
      <c r="H24" s="422">
        <f aca="true" t="shared" si="6" ref="H24:H30">IF(E24=0,"-",(G24/E24)-1)</f>
        <v>0.15019709260314107</v>
      </c>
      <c r="I24" s="425">
        <f>'Metas Cons'!G12</f>
        <v>22252584.106880236</v>
      </c>
      <c r="J24" s="422">
        <f aca="true" t="shared" si="7" ref="J24:J30">IF(G24=0,"-",(I24/G24)-1)</f>
        <v>-0.004375295907526944</v>
      </c>
      <c r="K24" s="425">
        <f>'Metas Cons'!K12</f>
        <v>22799031.042784806</v>
      </c>
      <c r="L24" s="422">
        <f aca="true" t="shared" si="8" ref="L24:L30">IF(I24=0,"-",(K24/I24)-1)</f>
        <v>0.024556560859626764</v>
      </c>
    </row>
    <row r="25" spans="1:12" ht="12.75">
      <c r="A25" s="388" t="s">
        <v>81</v>
      </c>
      <c r="B25" s="423">
        <f>B13*((1+Parâmetros!C11)*(1+Parâmetros!D11))</f>
        <v>18267745.170352664</v>
      </c>
      <c r="C25" s="417">
        <f>C13*(1+Parâmetros!D11)</f>
        <v>20399686.343773</v>
      </c>
      <c r="D25" s="422">
        <f t="shared" si="5"/>
        <v>0.11670521750436591</v>
      </c>
      <c r="E25" s="417">
        <f>E13</f>
        <v>20387000</v>
      </c>
      <c r="F25" s="422">
        <f aca="true" t="shared" si="9" ref="F25:F30">IF(C25=0,"-",(E25/C25)-1)</f>
        <v>-0.0006218891584512942</v>
      </c>
      <c r="G25" s="425">
        <f>'Metas Cons'!C13</f>
        <v>21880204.754973315</v>
      </c>
      <c r="H25" s="422">
        <f t="shared" si="6"/>
        <v>0.07324298597014356</v>
      </c>
      <c r="I25" s="425">
        <f>'Metas Cons'!G13</f>
        <v>21623912.31708686</v>
      </c>
      <c r="J25" s="422">
        <f t="shared" si="7"/>
        <v>-0.011713438734077597</v>
      </c>
      <c r="K25" s="425">
        <f>'Metas Cons'!K13</f>
        <v>21093714.025134377</v>
      </c>
      <c r="L25" s="422">
        <f t="shared" si="8"/>
        <v>-0.024519073337784913</v>
      </c>
    </row>
    <row r="26" spans="1:12" ht="12.75">
      <c r="A26" s="388" t="s">
        <v>122</v>
      </c>
      <c r="B26" s="423">
        <f>B14*((1+Parâmetros!C11)*(1+Parâmetros!D11))</f>
        <v>18198903.897841662</v>
      </c>
      <c r="C26" s="417">
        <f>C14*(1+Parâmetros!D11)</f>
        <v>20254282.975332</v>
      </c>
      <c r="D26" s="422">
        <f t="shared" si="5"/>
        <v>0.11293971818457149</v>
      </c>
      <c r="E26" s="417">
        <f>E14</f>
        <v>20279890</v>
      </c>
      <c r="F26" s="422">
        <f t="shared" si="9"/>
        <v>0.0012642770271940051</v>
      </c>
      <c r="G26" s="425">
        <f>'Metas Cons'!C14</f>
        <v>21625377.001455605</v>
      </c>
      <c r="H26" s="422">
        <f t="shared" si="6"/>
        <v>0.06634587275648962</v>
      </c>
      <c r="I26" s="425">
        <f>'Metas Cons'!G14</f>
        <v>21368122.145118795</v>
      </c>
      <c r="J26" s="422">
        <f t="shared" si="7"/>
        <v>-0.011895970938194278</v>
      </c>
      <c r="K26" s="425">
        <f>'Metas Cons'!K14</f>
        <v>20835707.86965028</v>
      </c>
      <c r="L26" s="422">
        <f t="shared" si="8"/>
        <v>-0.024916287535830084</v>
      </c>
    </row>
    <row r="27" spans="1:12" ht="12.75">
      <c r="A27" s="388" t="s">
        <v>82</v>
      </c>
      <c r="B27" s="423">
        <f>B24-B26</f>
        <v>14691.088201500475</v>
      </c>
      <c r="C27" s="425">
        <f>C24-C26</f>
        <v>-1432386.9442790002</v>
      </c>
      <c r="D27" s="422">
        <f t="shared" si="5"/>
        <v>-98.50039783524703</v>
      </c>
      <c r="E27" s="425">
        <f>E24-E26</f>
        <v>-848112.8299999982</v>
      </c>
      <c r="F27" s="422">
        <f t="shared" si="9"/>
        <v>-0.4079024293069772</v>
      </c>
      <c r="G27" s="425">
        <f>'Metas Cons'!C15</f>
        <v>724996.6035904901</v>
      </c>
      <c r="H27" s="422">
        <f t="shared" si="6"/>
        <v>-1.8548350855516378</v>
      </c>
      <c r="I27" s="425">
        <f>'Metas Cons'!G15</f>
        <v>884461.9617614405</v>
      </c>
      <c r="J27" s="422">
        <f t="shared" si="7"/>
        <v>0.2199532485824216</v>
      </c>
      <c r="K27" s="425">
        <f>'Metas Cons'!K15</f>
        <v>1963323.1731345297</v>
      </c>
      <c r="L27" s="422">
        <f t="shared" si="8"/>
        <v>1.2197937933073968</v>
      </c>
    </row>
    <row r="28" spans="1:12" ht="12.75">
      <c r="A28" s="388" t="s">
        <v>83</v>
      </c>
      <c r="B28" s="423">
        <f>B16*((1+Parâmetros!C11)*(1+Parâmetros!D11))</f>
        <v>1678282.5705614653</v>
      </c>
      <c r="C28" s="417">
        <f>C16*(1+Parâmetros!D11)</f>
        <v>912308.8758209998</v>
      </c>
      <c r="D28" s="422">
        <f t="shared" si="5"/>
        <v>-0.45640329475876695</v>
      </c>
      <c r="E28" s="417">
        <f>E16</f>
        <v>-191302.19</v>
      </c>
      <c r="F28" s="422">
        <f t="shared" si="9"/>
        <v>-1.2096901554617063</v>
      </c>
      <c r="G28" s="425">
        <f>'Metas Cons'!C16</f>
        <v>739122.6251496038</v>
      </c>
      <c r="H28" s="422">
        <f t="shared" si="6"/>
        <v>-4.863639120647829</v>
      </c>
      <c r="I28" s="425">
        <f>'Metas Cons'!G16</f>
        <v>883422.0314250636</v>
      </c>
      <c r="J28" s="422">
        <f t="shared" si="7"/>
        <v>0.19523067129253757</v>
      </c>
      <c r="K28" s="425">
        <f>'Metas Cons'!K16</f>
        <v>1946548.5418361458</v>
      </c>
      <c r="L28" s="422">
        <f t="shared" si="8"/>
        <v>1.203418606955199</v>
      </c>
    </row>
    <row r="29" spans="1:12" ht="12.75">
      <c r="A29" s="388" t="s">
        <v>84</v>
      </c>
      <c r="B29" s="423">
        <f>B17*((1+Parâmetros!C11)*(1+Parâmetros!D11))</f>
        <v>392050.08168731</v>
      </c>
      <c r="C29" s="417">
        <f>C17*(1+Parâmetros!D11)</f>
        <v>302337.803249</v>
      </c>
      <c r="D29" s="422">
        <f t="shared" si="5"/>
        <v>-0.22882861815053124</v>
      </c>
      <c r="E29" s="417">
        <f>E17</f>
        <v>821802.37</v>
      </c>
      <c r="F29" s="422">
        <f t="shared" si="9"/>
        <v>1.7181594930197277</v>
      </c>
      <c r="G29" s="425">
        <f>'Metas Cons'!C17</f>
        <v>714258.7158337379</v>
      </c>
      <c r="H29" s="422">
        <f t="shared" si="6"/>
        <v>-0.1308631589444822</v>
      </c>
      <c r="I29" s="425">
        <f>'Metas Cons'!G17</f>
        <v>827780.8877221372</v>
      </c>
      <c r="J29" s="422">
        <f t="shared" si="7"/>
        <v>0.1589370481197243</v>
      </c>
      <c r="K29" s="425">
        <f>'Metas Cons'!K17</f>
        <v>819489.8451603103</v>
      </c>
      <c r="L29" s="422">
        <f t="shared" si="8"/>
        <v>-0.010015986941474209</v>
      </c>
    </row>
    <row r="30" spans="1:12" ht="12.75">
      <c r="A30" s="389" t="s">
        <v>78</v>
      </c>
      <c r="B30" s="423">
        <f>B18*((1+Parâmetros!C11)*(1+Parâmetros!D11))</f>
        <v>-1573104.381707443</v>
      </c>
      <c r="C30" s="417">
        <f>C18*(1+Parâmetros!D11)</f>
        <v>-2516011.7123129996</v>
      </c>
      <c r="D30" s="422">
        <f t="shared" si="5"/>
        <v>0.5993927304316118</v>
      </c>
      <c r="E30" s="417">
        <f>E18</f>
        <v>-2385967.87</v>
      </c>
      <c r="F30" s="422">
        <f t="shared" si="9"/>
        <v>-0.05168650117031792</v>
      </c>
      <c r="G30" s="426">
        <f>'Metas Cons'!C18</f>
        <v>-2798467.4009380555</v>
      </c>
      <c r="H30" s="422">
        <f t="shared" si="6"/>
        <v>0.17288561850502004</v>
      </c>
      <c r="I30" s="423">
        <f>IF('Metas Cons'!G18=0,"0",('Metas Cons'!G18))</f>
        <v>-2833768.8501186487</v>
      </c>
      <c r="J30" s="422">
        <f t="shared" si="7"/>
        <v>0.012614565089720253</v>
      </c>
      <c r="K30" s="423">
        <f>IF('Metas Cons'!K18=0,"0",('Metas Cons'!K18))</f>
        <v>-2934736.2691216953</v>
      </c>
      <c r="L30" s="422">
        <f t="shared" si="8"/>
        <v>0.03563008288372527</v>
      </c>
    </row>
    <row r="31" spans="1:12" ht="12.75">
      <c r="A31" s="563"/>
      <c r="B31" s="563"/>
      <c r="C31" s="563"/>
      <c r="D31" s="563"/>
      <c r="E31" s="563"/>
      <c r="F31" s="563"/>
      <c r="G31" s="563"/>
      <c r="H31" s="563"/>
      <c r="I31" s="563"/>
      <c r="J31" s="563"/>
      <c r="K31" s="563"/>
      <c r="L31" s="563"/>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2"/>
  <drawing r:id="rId1"/>
</worksheet>
</file>

<file path=xl/worksheets/sheet11.xml><?xml version="1.0" encoding="utf-8"?>
<worksheet xmlns="http://schemas.openxmlformats.org/spreadsheetml/2006/main" xmlns:r="http://schemas.openxmlformats.org/officeDocument/2006/relationships">
  <sheetPr codeName="Plan14">
    <tabColor theme="4"/>
    <pageSetUpPr fitToPage="1"/>
  </sheetPr>
  <dimension ref="A1:H41"/>
  <sheetViews>
    <sheetView zoomScaleSheetLayoutView="90" zoomScalePageLayoutView="0" workbookViewId="0" topLeftCell="A1">
      <selection activeCell="I44" sqref="I44"/>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16384" width="9.140625" style="11" customWidth="1"/>
  </cols>
  <sheetData>
    <row r="1" spans="1:7" ht="15.75">
      <c r="A1" s="608" t="str">
        <f>Parâmetros!A7</f>
        <v>Município de : Tavares</v>
      </c>
      <c r="B1" s="609"/>
      <c r="C1" s="609"/>
      <c r="D1" s="609"/>
      <c r="E1" s="609"/>
      <c r="F1" s="609"/>
      <c r="G1" s="610"/>
    </row>
    <row r="2" spans="1:7" ht="15.75">
      <c r="A2" s="611" t="s">
        <v>36</v>
      </c>
      <c r="B2" s="609"/>
      <c r="C2" s="609"/>
      <c r="D2" s="609"/>
      <c r="E2" s="609"/>
      <c r="F2" s="609"/>
      <c r="G2" s="610"/>
    </row>
    <row r="3" spans="1:7" ht="15.75">
      <c r="A3" s="611" t="str">
        <f>'Metas Cons'!A3:M3</f>
        <v>ANEXO DE METAS FISCAIS</v>
      </c>
      <c r="B3" s="609"/>
      <c r="C3" s="609"/>
      <c r="D3" s="609"/>
      <c r="E3" s="609"/>
      <c r="F3" s="609"/>
      <c r="G3" s="610"/>
    </row>
    <row r="4" spans="1:7" ht="15.75">
      <c r="A4" s="616" t="s">
        <v>492</v>
      </c>
      <c r="B4" s="617"/>
      <c r="C4" s="617"/>
      <c r="D4" s="617"/>
      <c r="E4" s="617"/>
      <c r="F4" s="617"/>
      <c r="G4" s="618"/>
    </row>
    <row r="5" spans="1:7" ht="15.75">
      <c r="A5" s="611" t="s">
        <v>687</v>
      </c>
      <c r="B5" s="609"/>
      <c r="C5" s="609"/>
      <c r="D5" s="609"/>
      <c r="E5" s="609"/>
      <c r="F5" s="609"/>
      <c r="G5" s="610"/>
    </row>
    <row r="6" spans="1:7" ht="15.75">
      <c r="A6" s="611"/>
      <c r="B6" s="609"/>
      <c r="C6" s="609"/>
      <c r="D6" s="609"/>
      <c r="E6" s="609"/>
      <c r="F6" s="609"/>
      <c r="G6" s="610"/>
    </row>
    <row r="7" spans="1:7" ht="15.75">
      <c r="A7" s="614" t="s">
        <v>499</v>
      </c>
      <c r="B7" s="615"/>
      <c r="C7" s="390"/>
      <c r="D7" s="390"/>
      <c r="E7" s="390"/>
      <c r="F7" s="390"/>
      <c r="G7" s="393">
        <v>1</v>
      </c>
    </row>
    <row r="8" spans="1:7" s="12" customFormat="1" ht="25.5" customHeight="1">
      <c r="A8" s="394" t="s">
        <v>86</v>
      </c>
      <c r="B8" s="394">
        <v>2020</v>
      </c>
      <c r="C8" s="394" t="s">
        <v>13</v>
      </c>
      <c r="D8" s="394">
        <v>2019</v>
      </c>
      <c r="E8" s="394" t="s">
        <v>13</v>
      </c>
      <c r="F8" s="394">
        <v>2018</v>
      </c>
      <c r="G8" s="395" t="s">
        <v>13</v>
      </c>
    </row>
    <row r="9" spans="1:7" ht="15.75">
      <c r="A9" s="396" t="s">
        <v>87</v>
      </c>
      <c r="B9" s="427">
        <f>D12</f>
        <v>14310639.129999999</v>
      </c>
      <c r="C9" s="428">
        <f>IF(B12=0,"-",(B9/B12))</f>
        <v>0.8620959314688176</v>
      </c>
      <c r="D9" s="427">
        <f>F12</f>
        <v>12993841.12</v>
      </c>
      <c r="E9" s="428">
        <f>IF(D12=0,"-",(D9/D12))</f>
        <v>0.9079846820230733</v>
      </c>
      <c r="F9" s="427">
        <v>13205563.83</v>
      </c>
      <c r="G9" s="428">
        <f>IF(F12=0,"-",(F9/F12))</f>
        <v>1.0162940817918822</v>
      </c>
    </row>
    <row r="10" spans="1:7" ht="15.75">
      <c r="A10" s="396" t="s">
        <v>41</v>
      </c>
      <c r="B10" s="433"/>
      <c r="C10" s="428">
        <f>IF(B12=0,"-",(B10/B12))</f>
        <v>0</v>
      </c>
      <c r="D10" s="433"/>
      <c r="E10" s="428">
        <f>IF(D12=0,"-",(D10/D12))</f>
        <v>0</v>
      </c>
      <c r="F10" s="391"/>
      <c r="G10" s="428">
        <f>IF(F12=0,"-",(F10/F12))</f>
        <v>0</v>
      </c>
    </row>
    <row r="11" spans="1:7" ht="15.75">
      <c r="A11" s="397" t="s">
        <v>88</v>
      </c>
      <c r="B11" s="392">
        <v>2289183.01</v>
      </c>
      <c r="C11" s="431">
        <f>IF(B12=0,"-",(B11/B12))</f>
        <v>0.13790406853118248</v>
      </c>
      <c r="D11" s="392">
        <v>1316798.01</v>
      </c>
      <c r="E11" s="431">
        <f>IF(D12=0,"-",(D11/D12))</f>
        <v>0.09201531797692673</v>
      </c>
      <c r="F11" s="392">
        <v>-211722.71</v>
      </c>
      <c r="G11" s="431">
        <f>IF(F12=0,"-",(F11/F12))</f>
        <v>-0.01629408179188203</v>
      </c>
    </row>
    <row r="12" spans="1:7" ht="15.75">
      <c r="A12" s="398" t="s">
        <v>89</v>
      </c>
      <c r="B12" s="432">
        <f>B9+B11</f>
        <v>16599822.139999999</v>
      </c>
      <c r="C12" s="431">
        <f>IF(B12=0,"-",(B12/B12))</f>
        <v>1</v>
      </c>
      <c r="D12" s="432">
        <f>SUM(D9:D11)</f>
        <v>14310639.129999999</v>
      </c>
      <c r="E12" s="431">
        <f>IF(D12=0,"-",(D12/D12))</f>
        <v>1</v>
      </c>
      <c r="F12" s="432">
        <f>SUM(F9:F11)</f>
        <v>12993841.12</v>
      </c>
      <c r="G12" s="431">
        <f>IF(F12=0,"-",(F12/F12))</f>
        <v>1</v>
      </c>
    </row>
    <row r="13" spans="1:7" ht="15.75">
      <c r="A13" s="612"/>
      <c r="B13" s="612"/>
      <c r="C13" s="612"/>
      <c r="D13" s="612"/>
      <c r="E13" s="612"/>
      <c r="F13" s="612"/>
      <c r="G13" s="612"/>
    </row>
    <row r="14" spans="1:7" ht="15.75" customHeight="1">
      <c r="A14" s="613" t="s">
        <v>90</v>
      </c>
      <c r="B14" s="613"/>
      <c r="C14" s="613"/>
      <c r="D14" s="613"/>
      <c r="E14" s="613"/>
      <c r="F14" s="613"/>
      <c r="G14" s="613"/>
    </row>
    <row r="15" spans="1:7" s="12" customFormat="1" ht="25.5" customHeight="1">
      <c r="A15" s="394" t="s">
        <v>86</v>
      </c>
      <c r="B15" s="394">
        <v>2020</v>
      </c>
      <c r="C15" s="394" t="s">
        <v>13</v>
      </c>
      <c r="D15" s="394">
        <v>2019</v>
      </c>
      <c r="E15" s="394" t="s">
        <v>13</v>
      </c>
      <c r="F15" s="394">
        <v>2018</v>
      </c>
      <c r="G15" s="395" t="s">
        <v>13</v>
      </c>
    </row>
    <row r="16" spans="1:7" ht="15.75">
      <c r="A16" s="396" t="s">
        <v>87</v>
      </c>
      <c r="B16" s="427">
        <f>D19</f>
        <v>0</v>
      </c>
      <c r="C16" s="428" t="str">
        <f>IF(B19=0,"-",(B16/B19))</f>
        <v>-</v>
      </c>
      <c r="D16" s="427">
        <f>F19</f>
        <v>0</v>
      </c>
      <c r="E16" s="428" t="str">
        <f>IF(D19=0,"-",(D16/D19))</f>
        <v>-</v>
      </c>
      <c r="F16" s="427">
        <v>0</v>
      </c>
      <c r="G16" s="428" t="str">
        <f>IF(F19=0,"-",(F16/F19))</f>
        <v>-</v>
      </c>
    </row>
    <row r="17" spans="1:7" ht="15.75">
      <c r="A17" s="396" t="s">
        <v>41</v>
      </c>
      <c r="B17" s="391"/>
      <c r="C17" s="428" t="str">
        <f>IF(B19=0,"-",(B17/B19))</f>
        <v>-</v>
      </c>
      <c r="D17" s="391"/>
      <c r="E17" s="428" t="str">
        <f>IF(D19=0,"-",(D17/D19))</f>
        <v>-</v>
      </c>
      <c r="F17" s="391"/>
      <c r="G17" s="428" t="str">
        <f>IF(F19=0,"-",(F17/F19))</f>
        <v>-</v>
      </c>
    </row>
    <row r="18" spans="1:7" ht="31.5">
      <c r="A18" s="397" t="s">
        <v>592</v>
      </c>
      <c r="B18" s="392">
        <v>0</v>
      </c>
      <c r="C18" s="431" t="str">
        <f>IF(B19=0,"-",(B18/B19))</f>
        <v>-</v>
      </c>
      <c r="D18" s="392">
        <v>0</v>
      </c>
      <c r="E18" s="431" t="str">
        <f>IF(D19=0,"-",(D18/D19))</f>
        <v>-</v>
      </c>
      <c r="F18" s="392">
        <v>0</v>
      </c>
      <c r="G18" s="431" t="str">
        <f>IF(F19=0,"-",(F18/F19))</f>
        <v>-</v>
      </c>
    </row>
    <row r="19" spans="1:7" ht="15.75">
      <c r="A19" s="398" t="s">
        <v>89</v>
      </c>
      <c r="B19" s="432">
        <f>SUM(B16:B18)</f>
        <v>0</v>
      </c>
      <c r="C19" s="431" t="str">
        <f>IF(B19=0,"-",(B19/B19))</f>
        <v>-</v>
      </c>
      <c r="D19" s="432">
        <f>SUM(D16:D18)</f>
        <v>0</v>
      </c>
      <c r="E19" s="431" t="str">
        <f>IF(D19=0,"-",(D19/D19))</f>
        <v>-</v>
      </c>
      <c r="F19" s="432">
        <f>SUM(F16:F18)</f>
        <v>0</v>
      </c>
      <c r="G19" s="431" t="str">
        <f>IF(F19=0,"-",(F19/F19))</f>
        <v>-</v>
      </c>
    </row>
    <row r="20" spans="1:7" ht="15.75">
      <c r="A20" s="621"/>
      <c r="B20" s="621"/>
      <c r="C20" s="621"/>
      <c r="D20" s="621"/>
      <c r="E20" s="621"/>
      <c r="F20" s="621"/>
      <c r="G20" s="621"/>
    </row>
    <row r="21" spans="1:7" ht="15.75" customHeight="1">
      <c r="A21" s="613" t="s">
        <v>178</v>
      </c>
      <c r="B21" s="613"/>
      <c r="C21" s="613"/>
      <c r="D21" s="613"/>
      <c r="E21" s="613"/>
      <c r="F21" s="613"/>
      <c r="G21" s="613"/>
    </row>
    <row r="22" spans="1:7" s="12" customFormat="1" ht="25.5" customHeight="1">
      <c r="A22" s="394" t="s">
        <v>86</v>
      </c>
      <c r="B22" s="394">
        <v>2020</v>
      </c>
      <c r="C22" s="394" t="s">
        <v>13</v>
      </c>
      <c r="D22" s="394">
        <v>2019</v>
      </c>
      <c r="E22" s="394" t="s">
        <v>13</v>
      </c>
      <c r="F22" s="394">
        <v>2018</v>
      </c>
      <c r="G22" s="395" t="s">
        <v>13</v>
      </c>
    </row>
    <row r="23" spans="1:7" ht="15.75">
      <c r="A23" s="396" t="s">
        <v>87</v>
      </c>
      <c r="B23" s="427">
        <f>B9+B16</f>
        <v>14310639.129999999</v>
      </c>
      <c r="C23" s="428">
        <f>IF(B26=0,"-",(B23/B26))</f>
        <v>0.8620959314688176</v>
      </c>
      <c r="D23" s="427">
        <f>D9+D16</f>
        <v>12993841.12</v>
      </c>
      <c r="E23" s="428">
        <f>IF(D26=0,"-",(D23/D26))</f>
        <v>0.9079846820230733</v>
      </c>
      <c r="F23" s="427">
        <f>F9+F16</f>
        <v>13205563.83</v>
      </c>
      <c r="G23" s="428">
        <f>IF(F26=0,"-",(F23/F26))</f>
        <v>1.0162940817918822</v>
      </c>
    </row>
    <row r="24" spans="1:7" ht="15.75">
      <c r="A24" s="396" t="s">
        <v>41</v>
      </c>
      <c r="B24" s="429">
        <f>B10+B17</f>
        <v>0</v>
      </c>
      <c r="C24" s="428">
        <f>IF(B26=0,"-",(B24/B26))</f>
        <v>0</v>
      </c>
      <c r="D24" s="429">
        <f>D10+D17</f>
        <v>0</v>
      </c>
      <c r="E24" s="428">
        <f>IF(D26=0,"-",(D24/D26))</f>
        <v>0</v>
      </c>
      <c r="F24" s="429">
        <f>F10+F17</f>
        <v>0</v>
      </c>
      <c r="G24" s="428">
        <f>IF(F26=0,"-",(F24/F26))</f>
        <v>0</v>
      </c>
    </row>
    <row r="25" spans="1:7" ht="15.75">
      <c r="A25" s="397" t="s">
        <v>88</v>
      </c>
      <c r="B25" s="430">
        <f>B11+B18</f>
        <v>2289183.01</v>
      </c>
      <c r="C25" s="431">
        <f>IF(B26=0,"-",(B25/B26))</f>
        <v>0.13790406853118248</v>
      </c>
      <c r="D25" s="430">
        <f>D11+D18</f>
        <v>1316798.01</v>
      </c>
      <c r="E25" s="431">
        <f>IF(D26=0,"-",(D25/D26))</f>
        <v>0.09201531797692673</v>
      </c>
      <c r="F25" s="430">
        <f>F11+F18</f>
        <v>-211722.71</v>
      </c>
      <c r="G25" s="431">
        <f>IF(F26=0,"-",(F25/F26))</f>
        <v>-0.01629408179188203</v>
      </c>
    </row>
    <row r="26" spans="1:7" ht="15.75">
      <c r="A26" s="398" t="s">
        <v>89</v>
      </c>
      <c r="B26" s="432">
        <f>SUM(B23:B25)</f>
        <v>16599822.139999999</v>
      </c>
      <c r="C26" s="431">
        <f>IF(B26=0,"-",(B26/B26))</f>
        <v>1</v>
      </c>
      <c r="D26" s="432">
        <f>SUM(D23:D25)</f>
        <v>14310639.129999999</v>
      </c>
      <c r="E26" s="431">
        <f>IF(D26=0,"-",(D26/D26))</f>
        <v>1</v>
      </c>
      <c r="F26" s="432">
        <f>SUM(F23:F25)</f>
        <v>12993841.12</v>
      </c>
      <c r="G26" s="431">
        <f>IF(F26=0,"-",(F26/F26))</f>
        <v>1</v>
      </c>
    </row>
    <row r="27" spans="1:7" ht="15.75">
      <c r="A27" s="619"/>
      <c r="B27" s="620"/>
      <c r="C27" s="620"/>
      <c r="D27" s="620"/>
      <c r="E27" s="620"/>
      <c r="F27" s="620"/>
      <c r="G27" s="620"/>
    </row>
    <row r="41" ht="12.75">
      <c r="H41" s="11" t="s">
        <v>631</v>
      </c>
    </row>
  </sheetData>
  <sheetProtection/>
  <mergeCells count="12">
    <mergeCell ref="A27:G27"/>
    <mergeCell ref="A6:G6"/>
    <mergeCell ref="A21:G21"/>
    <mergeCell ref="A20:G20"/>
    <mergeCell ref="A1:G1"/>
    <mergeCell ref="A2:G2"/>
    <mergeCell ref="A13:G13"/>
    <mergeCell ref="A14:G14"/>
    <mergeCell ref="A7:B7"/>
    <mergeCell ref="A3:G3"/>
    <mergeCell ref="A4:G4"/>
    <mergeCell ref="A5:G5"/>
  </mergeCells>
  <printOptions/>
  <pageMargins left="0.7874015748031497" right="0.7874015748031497" top="0.984251968503937" bottom="0.984251968503937" header="0.5118110236220472" footer="0.5118110236220472"/>
  <pageSetup fitToHeight="1" fitToWidth="1" horizontalDpi="300" verticalDpi="300" orientation="portrait" scale="75" r:id="rId2"/>
  <drawing r:id="rId1"/>
</worksheet>
</file>

<file path=xl/worksheets/sheet12.xml><?xml version="1.0" encoding="utf-8"?>
<worksheet xmlns="http://schemas.openxmlformats.org/spreadsheetml/2006/main" xmlns:r="http://schemas.openxmlformats.org/officeDocument/2006/relationships">
  <sheetPr codeName="Plan15">
    <tabColor theme="4"/>
  </sheetPr>
  <dimension ref="A1:D31"/>
  <sheetViews>
    <sheetView zoomScale="90" zoomScaleNormal="90" zoomScaleSheetLayoutView="90" zoomScalePageLayoutView="0" workbookViewId="0" topLeftCell="A1">
      <selection activeCell="D10" sqref="D10"/>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633" t="str">
        <f>Parâmetros!A7</f>
        <v>Município de : Tavares</v>
      </c>
      <c r="B1" s="631"/>
      <c r="C1" s="631"/>
      <c r="D1" s="632"/>
    </row>
    <row r="2" spans="1:4" ht="14.25">
      <c r="A2" s="630" t="s">
        <v>36</v>
      </c>
      <c r="B2" s="631"/>
      <c r="C2" s="631"/>
      <c r="D2" s="632"/>
    </row>
    <row r="3" spans="1:4" ht="14.25">
      <c r="A3" s="630" t="s">
        <v>488</v>
      </c>
      <c r="B3" s="631"/>
      <c r="C3" s="631"/>
      <c r="D3" s="632"/>
    </row>
    <row r="4" spans="1:4" ht="15">
      <c r="A4" s="634" t="s">
        <v>493</v>
      </c>
      <c r="B4" s="635"/>
      <c r="C4" s="635"/>
      <c r="D4" s="636"/>
    </row>
    <row r="5" spans="1:4" ht="14.25">
      <c r="A5" s="630" t="s">
        <v>688</v>
      </c>
      <c r="B5" s="631"/>
      <c r="C5" s="631"/>
      <c r="D5" s="632"/>
    </row>
    <row r="6" spans="1:4" ht="14.25">
      <c r="A6" s="630"/>
      <c r="B6" s="631"/>
      <c r="C6" s="631"/>
      <c r="D6" s="632"/>
    </row>
    <row r="7" spans="1:4" ht="14.25">
      <c r="A7" s="439" t="s">
        <v>498</v>
      </c>
      <c r="B7" s="440"/>
      <c r="C7" s="440"/>
      <c r="D7" s="441">
        <v>1</v>
      </c>
    </row>
    <row r="8" spans="1:4" s="14" customFormat="1" ht="25.5" customHeight="1">
      <c r="A8" s="442" t="s">
        <v>91</v>
      </c>
      <c r="B8" s="443">
        <v>2020</v>
      </c>
      <c r="C8" s="443">
        <v>2019</v>
      </c>
      <c r="D8" s="444">
        <v>2018</v>
      </c>
    </row>
    <row r="9" spans="1:4" s="14" customFormat="1" ht="25.5" customHeight="1">
      <c r="A9" s="445" t="s">
        <v>641</v>
      </c>
      <c r="B9" s="446"/>
      <c r="C9" s="447">
        <v>0</v>
      </c>
      <c r="D9" s="448">
        <v>7087.5</v>
      </c>
    </row>
    <row r="10" spans="1:4" ht="12.75" customHeight="1">
      <c r="A10" s="449" t="s">
        <v>632</v>
      </c>
      <c r="B10" s="450">
        <f>B11</f>
        <v>6320</v>
      </c>
      <c r="C10" s="451">
        <f>C11</f>
        <v>310</v>
      </c>
      <c r="D10" s="451">
        <f>D11</f>
        <v>0</v>
      </c>
    </row>
    <row r="11" spans="1:4" ht="12.75" customHeight="1">
      <c r="A11" s="449" t="s">
        <v>633</v>
      </c>
      <c r="B11" s="451">
        <f>B12+B13+B14</f>
        <v>6320</v>
      </c>
      <c r="C11" s="451">
        <f>C12+C13+C14</f>
        <v>310</v>
      </c>
      <c r="D11" s="451">
        <f>D12+D13+D14</f>
        <v>0</v>
      </c>
    </row>
    <row r="12" spans="1:4" ht="12.75" customHeight="1">
      <c r="A12" s="449" t="s">
        <v>92</v>
      </c>
      <c r="B12" s="452">
        <v>6320</v>
      </c>
      <c r="C12" s="453">
        <v>310</v>
      </c>
      <c r="D12" s="453">
        <v>0</v>
      </c>
    </row>
    <row r="13" spans="1:4" ht="12.75" customHeight="1">
      <c r="A13" s="449" t="s">
        <v>93</v>
      </c>
      <c r="B13" s="452">
        <v>0</v>
      </c>
      <c r="C13" s="453">
        <v>0</v>
      </c>
      <c r="D13" s="453">
        <v>0</v>
      </c>
    </row>
    <row r="14" spans="1:4" ht="12.75" customHeight="1">
      <c r="A14" s="449" t="s">
        <v>634</v>
      </c>
      <c r="B14" s="452">
        <v>0</v>
      </c>
      <c r="C14" s="453">
        <v>0</v>
      </c>
      <c r="D14" s="453">
        <v>0</v>
      </c>
    </row>
    <row r="15" spans="1:4" ht="12.75" customHeight="1">
      <c r="A15" s="449" t="s">
        <v>142</v>
      </c>
      <c r="B15" s="454">
        <v>32.59</v>
      </c>
      <c r="C15" s="455">
        <v>96.1</v>
      </c>
      <c r="D15" s="455">
        <v>109.92</v>
      </c>
    </row>
    <row r="16" spans="1:4" ht="14.25">
      <c r="A16" s="456" t="s">
        <v>635</v>
      </c>
      <c r="B16" s="457">
        <f>B12+B13+B14+B15</f>
        <v>6352.59</v>
      </c>
      <c r="C16" s="457">
        <f>C12+C13+C14+C15</f>
        <v>406.1</v>
      </c>
      <c r="D16" s="457">
        <f>D9+D10+D15</f>
        <v>7197.42</v>
      </c>
    </row>
    <row r="17" spans="1:4" ht="14.25">
      <c r="A17" s="629"/>
      <c r="B17" s="629"/>
      <c r="C17" s="629"/>
      <c r="D17" s="629"/>
    </row>
    <row r="18" spans="1:4" s="14" customFormat="1" ht="14.25">
      <c r="A18" s="622" t="s">
        <v>160</v>
      </c>
      <c r="B18" s="624">
        <v>2020</v>
      </c>
      <c r="C18" s="624">
        <v>2019</v>
      </c>
      <c r="D18" s="624">
        <v>2018</v>
      </c>
    </row>
    <row r="19" spans="1:4" s="14" customFormat="1" ht="14.25">
      <c r="A19" s="623"/>
      <c r="B19" s="625"/>
      <c r="C19" s="625"/>
      <c r="D19" s="625"/>
    </row>
    <row r="20" spans="1:4" ht="28.5">
      <c r="A20" s="458" t="s">
        <v>636</v>
      </c>
      <c r="B20" s="459"/>
      <c r="C20" s="459"/>
      <c r="D20" s="460"/>
    </row>
    <row r="21" spans="1:4" ht="14.25">
      <c r="A21" s="458" t="s">
        <v>94</v>
      </c>
      <c r="B21" s="461">
        <f>B22+B23+B24</f>
        <v>4006.8</v>
      </c>
      <c r="C21" s="461">
        <f>C22+C23+C24</f>
        <v>710</v>
      </c>
      <c r="D21" s="462">
        <f>D22+D23+D24</f>
        <v>710</v>
      </c>
    </row>
    <row r="22" spans="1:4" ht="14.25">
      <c r="A22" s="458" t="s">
        <v>95</v>
      </c>
      <c r="B22" s="463">
        <v>4006.8</v>
      </c>
      <c r="C22" s="463">
        <v>710</v>
      </c>
      <c r="D22" s="464">
        <v>710</v>
      </c>
    </row>
    <row r="23" spans="1:4" ht="14.25">
      <c r="A23" s="458" t="s">
        <v>96</v>
      </c>
      <c r="B23" s="463"/>
      <c r="C23" s="463"/>
      <c r="D23" s="464"/>
    </row>
    <row r="24" spans="1:4" ht="14.25">
      <c r="A24" s="458" t="s">
        <v>97</v>
      </c>
      <c r="B24" s="463"/>
      <c r="C24" s="463">
        <v>0</v>
      </c>
      <c r="D24" s="464"/>
    </row>
    <row r="25" spans="1:4" ht="14.25">
      <c r="A25" s="458" t="s">
        <v>98</v>
      </c>
      <c r="B25" s="461">
        <f>B26+B27</f>
        <v>0</v>
      </c>
      <c r="C25" s="461">
        <f>C26+C27</f>
        <v>0</v>
      </c>
      <c r="D25" s="462">
        <f>D26+D27</f>
        <v>0</v>
      </c>
    </row>
    <row r="26" spans="1:4" ht="14.25">
      <c r="A26" s="458" t="s">
        <v>99</v>
      </c>
      <c r="B26" s="463">
        <v>0</v>
      </c>
      <c r="C26" s="463"/>
      <c r="D26" s="464"/>
    </row>
    <row r="27" spans="1:4" ht="14.25">
      <c r="A27" s="465" t="s">
        <v>100</v>
      </c>
      <c r="B27" s="466"/>
      <c r="C27" s="466"/>
      <c r="D27" s="467"/>
    </row>
    <row r="28" spans="1:4" ht="14.25">
      <c r="A28" s="465" t="s">
        <v>635</v>
      </c>
      <c r="B28" s="468">
        <f>B21+B25</f>
        <v>4006.8</v>
      </c>
      <c r="C28" s="468"/>
      <c r="D28" s="469">
        <f>D21+D25</f>
        <v>710</v>
      </c>
    </row>
    <row r="29" spans="1:4" ht="14.25">
      <c r="A29" s="626" t="s">
        <v>101</v>
      </c>
      <c r="B29" s="466"/>
      <c r="C29" s="466"/>
      <c r="D29" s="467"/>
    </row>
    <row r="30" spans="1:4" ht="14.25">
      <c r="A30" s="627"/>
      <c r="B30" s="468">
        <f>C30+B16-B28</f>
        <v>9239.310000000001</v>
      </c>
      <c r="C30" s="468">
        <f>D30+C16-C28</f>
        <v>6893.52</v>
      </c>
      <c r="D30" s="470">
        <f>D16-D28</f>
        <v>6487.42</v>
      </c>
    </row>
    <row r="31" spans="1:4" ht="14.25">
      <c r="A31" s="628"/>
      <c r="B31" s="628"/>
      <c r="C31" s="628"/>
      <c r="D31" s="628"/>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D31"/>
  </mergeCells>
  <printOptions/>
  <pageMargins left="0.787401575" right="0.787401575" top="0.984251969" bottom="0.984251969" header="0.492125985" footer="0.492125985"/>
  <pageSetup horizontalDpi="300" verticalDpi="300" orientation="portrait" scale="84"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I199"/>
  <sheetViews>
    <sheetView zoomScalePageLayoutView="0" workbookViewId="0" topLeftCell="A106">
      <selection activeCell="B46" sqref="B46:E46"/>
    </sheetView>
  </sheetViews>
  <sheetFormatPr defaultColWidth="9.140625" defaultRowHeight="11.25" customHeight="1"/>
  <cols>
    <col min="1" max="1" width="59.28125" style="54" customWidth="1"/>
    <col min="2" max="2" width="13.8515625" style="54" customWidth="1"/>
    <col min="3" max="3" width="7.140625" style="54" customWidth="1"/>
    <col min="4" max="4" width="18.57421875" style="54" hidden="1" customWidth="1"/>
    <col min="5" max="5" width="12.8515625" style="54" hidden="1" customWidth="1"/>
    <col min="6" max="6" width="12.8515625" style="54" customWidth="1"/>
    <col min="7" max="7" width="7.140625" style="54" customWidth="1"/>
    <col min="8" max="8" width="12.8515625" style="54" customWidth="1"/>
    <col min="9" max="9" width="5.7109375" style="54" customWidth="1"/>
    <col min="10" max="16384" width="9.140625" style="54" customWidth="1"/>
  </cols>
  <sheetData>
    <row r="1" spans="1:7" ht="11.25" customHeight="1">
      <c r="A1" s="647" t="str">
        <f>Parâmetros!A7</f>
        <v>Município de : Tavares</v>
      </c>
      <c r="B1" s="648"/>
      <c r="C1" s="648"/>
      <c r="D1" s="648"/>
      <c r="E1" s="648"/>
      <c r="F1" s="648"/>
      <c r="G1" s="648"/>
    </row>
    <row r="2" spans="1:7" s="42" customFormat="1" ht="11.25" customHeight="1">
      <c r="A2" s="649" t="s">
        <v>36</v>
      </c>
      <c r="B2" s="649"/>
      <c r="C2" s="649"/>
      <c r="D2" s="649"/>
      <c r="E2" s="649"/>
      <c r="F2" s="649"/>
      <c r="G2" s="649"/>
    </row>
    <row r="3" spans="1:7" ht="11.25" customHeight="1">
      <c r="A3" s="648" t="s">
        <v>153</v>
      </c>
      <c r="B3" s="648"/>
      <c r="C3" s="648"/>
      <c r="D3" s="648"/>
      <c r="E3" s="648"/>
      <c r="F3" s="648"/>
      <c r="G3" s="648"/>
    </row>
    <row r="4" spans="1:7" ht="11.25" customHeight="1">
      <c r="A4" s="650" t="s">
        <v>477</v>
      </c>
      <c r="B4" s="650"/>
      <c r="C4" s="650"/>
      <c r="D4" s="650"/>
      <c r="E4" s="650"/>
      <c r="F4" s="650"/>
      <c r="G4" s="650"/>
    </row>
    <row r="5" spans="1:7" s="42" customFormat="1" ht="11.25" customHeight="1">
      <c r="A5" s="648" t="s">
        <v>686</v>
      </c>
      <c r="B5" s="649"/>
      <c r="C5" s="649"/>
      <c r="D5" s="649"/>
      <c r="E5" s="649"/>
      <c r="F5" s="649"/>
      <c r="G5" s="649"/>
    </row>
    <row r="6" spans="1:7" s="42" customFormat="1" ht="11.25" customHeight="1">
      <c r="A6" s="651"/>
      <c r="B6" s="651"/>
      <c r="C6" s="651"/>
      <c r="D6" s="651"/>
      <c r="E6" s="651"/>
      <c r="F6" s="651"/>
      <c r="G6" s="652"/>
    </row>
    <row r="7" spans="1:9" s="43" customFormat="1" ht="11.25" customHeight="1" thickBot="1">
      <c r="A7" s="667" t="s">
        <v>410</v>
      </c>
      <c r="B7" s="667"/>
      <c r="C7" s="667"/>
      <c r="D7" s="667"/>
      <c r="E7" s="667"/>
      <c r="F7" s="667"/>
      <c r="G7" s="667"/>
      <c r="H7" s="664">
        <v>1</v>
      </c>
      <c r="I7" s="664"/>
    </row>
    <row r="8" spans="1:9" s="43" customFormat="1" ht="11.25" customHeight="1" thickBot="1">
      <c r="A8" s="653" t="s">
        <v>411</v>
      </c>
      <c r="B8" s="653"/>
      <c r="C8" s="653"/>
      <c r="D8" s="653"/>
      <c r="E8" s="653"/>
      <c r="F8" s="653"/>
      <c r="G8" s="653"/>
      <c r="H8" s="653"/>
      <c r="I8" s="653"/>
    </row>
    <row r="9" spans="1:9" s="42" customFormat="1" ht="11.25" customHeight="1">
      <c r="A9" s="665" t="s">
        <v>412</v>
      </c>
      <c r="B9" s="666"/>
      <c r="C9" s="666"/>
      <c r="D9" s="666"/>
      <c r="E9" s="666"/>
      <c r="F9" s="666"/>
      <c r="G9" s="666"/>
      <c r="H9" s="666"/>
      <c r="I9" s="666"/>
    </row>
    <row r="10" spans="1:9" s="42" customFormat="1" ht="11.25" customHeight="1">
      <c r="A10" s="186"/>
      <c r="B10" s="639">
        <v>2020</v>
      </c>
      <c r="C10" s="640"/>
      <c r="D10" s="640"/>
      <c r="E10" s="641"/>
      <c r="F10" s="642">
        <v>2019</v>
      </c>
      <c r="G10" s="643"/>
      <c r="H10" s="642">
        <v>2018</v>
      </c>
      <c r="I10" s="643"/>
    </row>
    <row r="11" spans="1:9" s="42" customFormat="1" ht="11.25" customHeight="1">
      <c r="A11" s="125" t="s">
        <v>414</v>
      </c>
      <c r="B11" s="637"/>
      <c r="C11" s="637"/>
      <c r="D11" s="154"/>
      <c r="E11" s="155"/>
      <c r="F11" s="637"/>
      <c r="G11" s="637"/>
      <c r="H11" s="637"/>
      <c r="I11" s="637"/>
    </row>
    <row r="12" spans="1:9" s="42" customFormat="1" ht="11.25" customHeight="1">
      <c r="A12" s="126" t="s">
        <v>415</v>
      </c>
      <c r="B12" s="637"/>
      <c r="C12" s="637"/>
      <c r="D12" s="156"/>
      <c r="E12" s="156"/>
      <c r="F12" s="637"/>
      <c r="G12" s="637"/>
      <c r="H12" s="637"/>
      <c r="I12" s="637"/>
    </row>
    <row r="13" spans="1:9" s="42" customFormat="1" ht="11.25" customHeight="1">
      <c r="A13" s="129" t="s">
        <v>416</v>
      </c>
      <c r="B13" s="637"/>
      <c r="C13" s="637"/>
      <c r="D13" s="156"/>
      <c r="E13" s="156"/>
      <c r="F13" s="637"/>
      <c r="G13" s="637"/>
      <c r="H13" s="637"/>
      <c r="I13" s="637"/>
    </row>
    <row r="14" spans="1:9" s="42" customFormat="1" ht="11.25" customHeight="1">
      <c r="A14" s="131" t="s">
        <v>417</v>
      </c>
      <c r="B14" s="637"/>
      <c r="C14" s="637"/>
      <c r="D14" s="156"/>
      <c r="E14" s="156"/>
      <c r="F14" s="637"/>
      <c r="G14" s="637"/>
      <c r="H14" s="637"/>
      <c r="I14" s="637"/>
    </row>
    <row r="15" spans="1:9" s="42" customFormat="1" ht="11.25" customHeight="1">
      <c r="A15" s="131" t="s">
        <v>418</v>
      </c>
      <c r="B15" s="637"/>
      <c r="C15" s="637"/>
      <c r="D15" s="156"/>
      <c r="E15" s="156"/>
      <c r="F15" s="637"/>
      <c r="G15" s="637"/>
      <c r="H15" s="637"/>
      <c r="I15" s="637"/>
    </row>
    <row r="16" spans="1:9" s="42" customFormat="1" ht="11.25" customHeight="1">
      <c r="A16" s="131" t="s">
        <v>419</v>
      </c>
      <c r="B16" s="637"/>
      <c r="C16" s="637"/>
      <c r="D16" s="156"/>
      <c r="E16" s="156"/>
      <c r="F16" s="637"/>
      <c r="G16" s="637"/>
      <c r="H16" s="637"/>
      <c r="I16" s="637"/>
    </row>
    <row r="17" spans="1:9" s="42" customFormat="1" ht="11.25" customHeight="1">
      <c r="A17" s="129" t="s">
        <v>420</v>
      </c>
      <c r="B17" s="637"/>
      <c r="C17" s="637"/>
      <c r="D17" s="156"/>
      <c r="E17" s="156"/>
      <c r="F17" s="637"/>
      <c r="G17" s="637"/>
      <c r="H17" s="637"/>
      <c r="I17" s="637"/>
    </row>
    <row r="18" spans="1:9" s="42" customFormat="1" ht="11.25" customHeight="1">
      <c r="A18" s="131" t="s">
        <v>417</v>
      </c>
      <c r="B18" s="637"/>
      <c r="C18" s="637"/>
      <c r="D18" s="156"/>
      <c r="E18" s="156"/>
      <c r="F18" s="637"/>
      <c r="G18" s="637"/>
      <c r="H18" s="637"/>
      <c r="I18" s="637"/>
    </row>
    <row r="19" spans="1:9" s="42" customFormat="1" ht="11.25" customHeight="1">
      <c r="A19" s="131" t="s">
        <v>418</v>
      </c>
      <c r="B19" s="637"/>
      <c r="C19" s="637"/>
      <c r="D19" s="156"/>
      <c r="E19" s="156"/>
      <c r="F19" s="637"/>
      <c r="G19" s="637"/>
      <c r="H19" s="637"/>
      <c r="I19" s="637"/>
    </row>
    <row r="20" spans="1:9" s="42" customFormat="1" ht="11.25" customHeight="1">
      <c r="A20" s="131" t="s">
        <v>419</v>
      </c>
      <c r="B20" s="637"/>
      <c r="C20" s="637"/>
      <c r="D20" s="156"/>
      <c r="E20" s="156"/>
      <c r="F20" s="637"/>
      <c r="G20" s="637"/>
      <c r="H20" s="637"/>
      <c r="I20" s="637"/>
    </row>
    <row r="21" spans="1:9" s="42" customFormat="1" ht="11.25" customHeight="1">
      <c r="A21" s="44" t="s">
        <v>421</v>
      </c>
      <c r="B21" s="637"/>
      <c r="C21" s="637"/>
      <c r="D21" s="156"/>
      <c r="E21" s="156"/>
      <c r="F21" s="637"/>
      <c r="G21" s="637"/>
      <c r="H21" s="637"/>
      <c r="I21" s="637"/>
    </row>
    <row r="22" spans="1:9" s="42" customFormat="1" ht="11.25" customHeight="1">
      <c r="A22" s="129" t="s">
        <v>416</v>
      </c>
      <c r="B22" s="637"/>
      <c r="C22" s="637"/>
      <c r="D22" s="156"/>
      <c r="E22" s="156"/>
      <c r="F22" s="637"/>
      <c r="G22" s="637"/>
      <c r="H22" s="637"/>
      <c r="I22" s="637"/>
    </row>
    <row r="23" spans="1:9" s="42" customFormat="1" ht="11.25" customHeight="1">
      <c r="A23" s="131" t="s">
        <v>417</v>
      </c>
      <c r="B23" s="637"/>
      <c r="C23" s="637"/>
      <c r="D23" s="156"/>
      <c r="E23" s="156"/>
      <c r="F23" s="637"/>
      <c r="G23" s="637"/>
      <c r="H23" s="637"/>
      <c r="I23" s="637"/>
    </row>
    <row r="24" spans="1:9" s="42" customFormat="1" ht="11.25" customHeight="1">
      <c r="A24" s="131" t="s">
        <v>418</v>
      </c>
      <c r="B24" s="637"/>
      <c r="C24" s="637"/>
      <c r="D24" s="156"/>
      <c r="E24" s="156"/>
      <c r="F24" s="637"/>
      <c r="G24" s="637"/>
      <c r="H24" s="637"/>
      <c r="I24" s="637"/>
    </row>
    <row r="25" spans="1:9" s="42" customFormat="1" ht="11.25" customHeight="1">
      <c r="A25" s="131" t="s">
        <v>419</v>
      </c>
      <c r="B25" s="637"/>
      <c r="C25" s="637"/>
      <c r="D25" s="156"/>
      <c r="E25" s="156"/>
      <c r="F25" s="637"/>
      <c r="G25" s="637"/>
      <c r="H25" s="637"/>
      <c r="I25" s="637"/>
    </row>
    <row r="26" spans="1:9" s="42" customFormat="1" ht="11.25" customHeight="1">
      <c r="A26" s="129" t="s">
        <v>420</v>
      </c>
      <c r="B26" s="637"/>
      <c r="C26" s="637"/>
      <c r="D26" s="156"/>
      <c r="E26" s="156"/>
      <c r="F26" s="637"/>
      <c r="G26" s="637"/>
      <c r="H26" s="637"/>
      <c r="I26" s="637"/>
    </row>
    <row r="27" spans="1:9" s="42" customFormat="1" ht="11.25" customHeight="1">
      <c r="A27" s="131" t="s">
        <v>417</v>
      </c>
      <c r="B27" s="637"/>
      <c r="C27" s="637"/>
      <c r="D27" s="156"/>
      <c r="E27" s="156"/>
      <c r="F27" s="637"/>
      <c r="G27" s="637"/>
      <c r="H27" s="637"/>
      <c r="I27" s="637"/>
    </row>
    <row r="28" spans="1:9" s="42" customFormat="1" ht="11.25" customHeight="1">
      <c r="A28" s="131" t="s">
        <v>418</v>
      </c>
      <c r="B28" s="637"/>
      <c r="C28" s="637"/>
      <c r="D28" s="156"/>
      <c r="E28" s="156"/>
      <c r="F28" s="637"/>
      <c r="G28" s="637"/>
      <c r="H28" s="637"/>
      <c r="I28" s="637"/>
    </row>
    <row r="29" spans="1:9" s="42" customFormat="1" ht="11.25" customHeight="1">
      <c r="A29" s="131" t="s">
        <v>419</v>
      </c>
      <c r="B29" s="637"/>
      <c r="C29" s="637"/>
      <c r="D29" s="156"/>
      <c r="E29" s="156"/>
      <c r="F29" s="637"/>
      <c r="G29" s="637"/>
      <c r="H29" s="637"/>
      <c r="I29" s="637"/>
    </row>
    <row r="30" spans="1:9" s="42" customFormat="1" ht="11.25" customHeight="1">
      <c r="A30" s="129" t="s">
        <v>422</v>
      </c>
      <c r="B30" s="637"/>
      <c r="C30" s="637"/>
      <c r="D30" s="156"/>
      <c r="E30" s="156"/>
      <c r="F30" s="637"/>
      <c r="G30" s="637"/>
      <c r="H30" s="637"/>
      <c r="I30" s="637"/>
    </row>
    <row r="31" spans="1:9" s="42" customFormat="1" ht="11.25" customHeight="1">
      <c r="A31" s="126" t="s">
        <v>240</v>
      </c>
      <c r="B31" s="637"/>
      <c r="C31" s="637"/>
      <c r="D31" s="156"/>
      <c r="E31" s="156"/>
      <c r="F31" s="637"/>
      <c r="G31" s="637"/>
      <c r="H31" s="637"/>
      <c r="I31" s="637"/>
    </row>
    <row r="32" spans="1:9" s="42" customFormat="1" ht="11.25" customHeight="1">
      <c r="A32" s="129" t="s">
        <v>423</v>
      </c>
      <c r="B32" s="637"/>
      <c r="C32" s="637"/>
      <c r="D32" s="156"/>
      <c r="E32" s="156"/>
      <c r="F32" s="637"/>
      <c r="G32" s="637"/>
      <c r="H32" s="637"/>
      <c r="I32" s="637"/>
    </row>
    <row r="33" spans="1:9" s="42" customFormat="1" ht="11.25" customHeight="1">
      <c r="A33" s="129" t="s">
        <v>424</v>
      </c>
      <c r="B33" s="637"/>
      <c r="C33" s="637"/>
      <c r="D33" s="156"/>
      <c r="E33" s="156"/>
      <c r="F33" s="637"/>
      <c r="G33" s="637"/>
      <c r="H33" s="637"/>
      <c r="I33" s="637"/>
    </row>
    <row r="34" spans="1:9" s="42" customFormat="1" ht="11.25" customHeight="1">
      <c r="A34" s="129" t="s">
        <v>425</v>
      </c>
      <c r="B34" s="637"/>
      <c r="C34" s="637"/>
      <c r="D34" s="156"/>
      <c r="E34" s="156"/>
      <c r="F34" s="637"/>
      <c r="G34" s="637"/>
      <c r="H34" s="637"/>
      <c r="I34" s="637"/>
    </row>
    <row r="35" spans="1:9" s="42" customFormat="1" ht="11.25" customHeight="1">
      <c r="A35" s="126" t="s">
        <v>263</v>
      </c>
      <c r="B35" s="637"/>
      <c r="C35" s="637"/>
      <c r="D35" s="156"/>
      <c r="E35" s="156"/>
      <c r="F35" s="637"/>
      <c r="G35" s="637"/>
      <c r="H35" s="637"/>
      <c r="I35" s="637"/>
    </row>
    <row r="36" spans="1:9" s="42" customFormat="1" ht="11.25" customHeight="1">
      <c r="A36" s="126" t="s">
        <v>426</v>
      </c>
      <c r="B36" s="637"/>
      <c r="C36" s="637"/>
      <c r="D36" s="156"/>
      <c r="E36" s="156"/>
      <c r="F36" s="637"/>
      <c r="G36" s="637"/>
      <c r="H36" s="637"/>
      <c r="I36" s="637"/>
    </row>
    <row r="37" spans="1:9" s="42" customFormat="1" ht="11.25" customHeight="1">
      <c r="A37" s="126" t="s">
        <v>319</v>
      </c>
      <c r="B37" s="637"/>
      <c r="C37" s="637"/>
      <c r="D37" s="156"/>
      <c r="E37" s="156"/>
      <c r="F37" s="637"/>
      <c r="G37" s="637"/>
      <c r="H37" s="637"/>
      <c r="I37" s="637"/>
    </row>
    <row r="38" spans="1:9" s="42" customFormat="1" ht="11.25" customHeight="1">
      <c r="A38" s="129" t="s">
        <v>427</v>
      </c>
      <c r="B38" s="637"/>
      <c r="C38" s="637"/>
      <c r="D38" s="156"/>
      <c r="E38" s="156"/>
      <c r="F38" s="637"/>
      <c r="G38" s="637"/>
      <c r="H38" s="637"/>
      <c r="I38" s="637"/>
    </row>
    <row r="39" spans="1:9" s="42" customFormat="1" ht="11.25" customHeight="1">
      <c r="A39" s="129" t="s">
        <v>325</v>
      </c>
      <c r="B39" s="637"/>
      <c r="C39" s="637"/>
      <c r="D39" s="156"/>
      <c r="E39" s="156"/>
      <c r="F39" s="637"/>
      <c r="G39" s="637"/>
      <c r="H39" s="637"/>
      <c r="I39" s="637"/>
    </row>
    <row r="40" spans="1:9" s="43" customFormat="1" ht="11.25" customHeight="1">
      <c r="A40" s="44" t="s">
        <v>428</v>
      </c>
      <c r="B40" s="637"/>
      <c r="C40" s="637"/>
      <c r="D40" s="156"/>
      <c r="E40" s="156"/>
      <c r="F40" s="637"/>
      <c r="G40" s="637"/>
      <c r="H40" s="637"/>
      <c r="I40" s="637"/>
    </row>
    <row r="41" spans="1:9" s="43" customFormat="1" ht="11.25" customHeight="1">
      <c r="A41" s="126" t="s">
        <v>429</v>
      </c>
      <c r="B41" s="637"/>
      <c r="C41" s="637"/>
      <c r="D41" s="156"/>
      <c r="E41" s="156"/>
      <c r="F41" s="637"/>
      <c r="G41" s="637"/>
      <c r="H41" s="637"/>
      <c r="I41" s="637"/>
    </row>
    <row r="42" spans="1:9" s="42" customFormat="1" ht="11.25" customHeight="1">
      <c r="A42" s="126" t="s">
        <v>344</v>
      </c>
      <c r="B42" s="637"/>
      <c r="C42" s="637"/>
      <c r="D42" s="156"/>
      <c r="E42" s="156"/>
      <c r="F42" s="637"/>
      <c r="G42" s="637"/>
      <c r="H42" s="637"/>
      <c r="I42" s="637"/>
    </row>
    <row r="43" spans="1:9" s="42" customFormat="1" ht="11.25" customHeight="1">
      <c r="A43" s="126" t="s">
        <v>355</v>
      </c>
      <c r="B43" s="637"/>
      <c r="C43" s="637"/>
      <c r="D43" s="156"/>
      <c r="E43" s="156"/>
      <c r="F43" s="637"/>
      <c r="G43" s="637"/>
      <c r="H43" s="637"/>
      <c r="I43" s="637"/>
    </row>
    <row r="44" spans="1:9" s="42" customFormat="1" ht="11.25" customHeight="1">
      <c r="A44" s="187" t="s">
        <v>430</v>
      </c>
      <c r="B44" s="188"/>
      <c r="C44" s="187"/>
      <c r="D44" s="189"/>
      <c r="E44" s="190"/>
      <c r="F44" s="191"/>
      <c r="G44" s="190"/>
      <c r="H44" s="189"/>
      <c r="I44" s="189"/>
    </row>
    <row r="45" spans="2:6" s="42" customFormat="1" ht="11.25" customHeight="1">
      <c r="B45" s="132"/>
      <c r="C45" s="132"/>
      <c r="D45" s="132"/>
      <c r="E45" s="132"/>
      <c r="F45" s="130"/>
    </row>
    <row r="46" spans="1:9" s="42" customFormat="1" ht="11.25" customHeight="1">
      <c r="A46" s="192" t="s">
        <v>431</v>
      </c>
      <c r="B46" s="642">
        <v>2020</v>
      </c>
      <c r="C46" s="661"/>
      <c r="D46" s="661"/>
      <c r="E46" s="643"/>
      <c r="F46" s="642">
        <f>F10</f>
        <v>2019</v>
      </c>
      <c r="G46" s="643"/>
      <c r="H46" s="642">
        <f>H10</f>
        <v>2018</v>
      </c>
      <c r="I46" s="661"/>
    </row>
    <row r="47" spans="1:9" s="42" customFormat="1" ht="11.25" customHeight="1">
      <c r="A47" s="133" t="s">
        <v>432</v>
      </c>
      <c r="B47" s="637"/>
      <c r="C47" s="637"/>
      <c r="D47" s="150"/>
      <c r="E47" s="151"/>
      <c r="F47" s="637"/>
      <c r="G47" s="637"/>
      <c r="H47" s="644"/>
      <c r="I47" s="546"/>
    </row>
    <row r="48" spans="1:9" s="42" customFormat="1" ht="11.25" customHeight="1">
      <c r="A48" s="134" t="s">
        <v>433</v>
      </c>
      <c r="B48" s="637"/>
      <c r="C48" s="637"/>
      <c r="D48" s="152"/>
      <c r="E48" s="153"/>
      <c r="F48" s="637"/>
      <c r="G48" s="637"/>
      <c r="H48" s="644"/>
      <c r="I48" s="546"/>
    </row>
    <row r="49" spans="1:9" s="42" customFormat="1" ht="11.25" customHeight="1">
      <c r="A49" s="134" t="s">
        <v>434</v>
      </c>
      <c r="B49" s="637"/>
      <c r="C49" s="637"/>
      <c r="D49" s="152"/>
      <c r="E49" s="153"/>
      <c r="F49" s="637"/>
      <c r="G49" s="637"/>
      <c r="H49" s="644"/>
      <c r="I49" s="546"/>
    </row>
    <row r="50" spans="1:9" s="42" customFormat="1" ht="11.25" customHeight="1">
      <c r="A50" s="135" t="s">
        <v>435</v>
      </c>
      <c r="B50" s="637"/>
      <c r="C50" s="637"/>
      <c r="D50" s="152"/>
      <c r="E50" s="153"/>
      <c r="F50" s="637"/>
      <c r="G50" s="637"/>
      <c r="H50" s="644"/>
      <c r="I50" s="546"/>
    </row>
    <row r="51" spans="1:9" s="43" customFormat="1" ht="11.25" customHeight="1">
      <c r="A51" s="126" t="s">
        <v>436</v>
      </c>
      <c r="B51" s="637"/>
      <c r="C51" s="637"/>
      <c r="D51" s="152"/>
      <c r="E51" s="153"/>
      <c r="F51" s="637"/>
      <c r="G51" s="637"/>
      <c r="H51" s="644"/>
      <c r="I51" s="546"/>
    </row>
    <row r="52" spans="1:9" s="42" customFormat="1" ht="11.25" customHeight="1">
      <c r="A52" s="136" t="s">
        <v>437</v>
      </c>
      <c r="B52" s="637"/>
      <c r="C52" s="637"/>
      <c r="D52" s="152"/>
      <c r="E52" s="153"/>
      <c r="F52" s="637"/>
      <c r="G52" s="637"/>
      <c r="H52" s="644"/>
      <c r="I52" s="546"/>
    </row>
    <row r="53" spans="1:9" s="42" customFormat="1" ht="11.25" customHeight="1">
      <c r="A53" s="136" t="s">
        <v>438</v>
      </c>
      <c r="B53" s="637"/>
      <c r="C53" s="637"/>
      <c r="D53" s="152"/>
      <c r="E53" s="153"/>
      <c r="F53" s="637"/>
      <c r="G53" s="637"/>
      <c r="H53" s="644"/>
      <c r="I53" s="546"/>
    </row>
    <row r="54" spans="1:9" s="42" customFormat="1" ht="11.25" customHeight="1">
      <c r="A54" s="136" t="s">
        <v>439</v>
      </c>
      <c r="B54" s="637"/>
      <c r="C54" s="637"/>
      <c r="D54" s="152"/>
      <c r="E54" s="153"/>
      <c r="F54" s="637"/>
      <c r="G54" s="637"/>
      <c r="H54" s="644"/>
      <c r="I54" s="546"/>
    </row>
    <row r="55" spans="1:9" s="42" customFormat="1" ht="11.25" customHeight="1">
      <c r="A55" s="126" t="s">
        <v>440</v>
      </c>
      <c r="B55" s="637"/>
      <c r="C55" s="637"/>
      <c r="D55" s="152"/>
      <c r="E55" s="153"/>
      <c r="F55" s="637"/>
      <c r="G55" s="637"/>
      <c r="H55" s="644"/>
      <c r="I55" s="546"/>
    </row>
    <row r="56" spans="1:9" s="42" customFormat="1" ht="11.25" customHeight="1">
      <c r="A56" s="136" t="s">
        <v>441</v>
      </c>
      <c r="B56" s="637"/>
      <c r="C56" s="637"/>
      <c r="D56" s="152"/>
      <c r="E56" s="153"/>
      <c r="F56" s="637"/>
      <c r="G56" s="637"/>
      <c r="H56" s="644"/>
      <c r="I56" s="546"/>
    </row>
    <row r="57" spans="1:9" s="42" customFormat="1" ht="11.25" customHeight="1">
      <c r="A57" s="136" t="s">
        <v>438</v>
      </c>
      <c r="B57" s="637"/>
      <c r="C57" s="637"/>
      <c r="D57" s="152"/>
      <c r="E57" s="153"/>
      <c r="F57" s="637"/>
      <c r="G57" s="637"/>
      <c r="H57" s="644"/>
      <c r="I57" s="546"/>
    </row>
    <row r="58" spans="1:9" s="42" customFormat="1" ht="11.25" customHeight="1">
      <c r="A58" s="136" t="s">
        <v>439</v>
      </c>
      <c r="B58" s="637"/>
      <c r="C58" s="637"/>
      <c r="D58" s="152"/>
      <c r="E58" s="153"/>
      <c r="F58" s="637"/>
      <c r="G58" s="637"/>
      <c r="H58" s="644"/>
      <c r="I58" s="546"/>
    </row>
    <row r="59" spans="1:9" s="42" customFormat="1" ht="11.25" customHeight="1">
      <c r="A59" s="134" t="s">
        <v>442</v>
      </c>
      <c r="B59" s="637"/>
      <c r="C59" s="637"/>
      <c r="D59" s="152"/>
      <c r="E59" s="153"/>
      <c r="F59" s="637"/>
      <c r="G59" s="637"/>
      <c r="H59" s="644"/>
      <c r="I59" s="546"/>
    </row>
    <row r="60" spans="1:9" s="42" customFormat="1" ht="11.25" customHeight="1">
      <c r="A60" s="136" t="s">
        <v>443</v>
      </c>
      <c r="B60" s="637"/>
      <c r="C60" s="637"/>
      <c r="D60" s="152"/>
      <c r="E60" s="153"/>
      <c r="F60" s="637"/>
      <c r="G60" s="637"/>
      <c r="H60" s="644"/>
      <c r="I60" s="546"/>
    </row>
    <row r="61" spans="1:9" s="42" customFormat="1" ht="11.25" customHeight="1">
      <c r="A61" s="136" t="s">
        <v>444</v>
      </c>
      <c r="B61" s="637"/>
      <c r="C61" s="637"/>
      <c r="D61" s="159"/>
      <c r="E61" s="160"/>
      <c r="F61" s="637"/>
      <c r="G61" s="637"/>
      <c r="H61" s="644"/>
      <c r="I61" s="546"/>
    </row>
    <row r="62" spans="1:9" s="42" customFormat="1" ht="11.25" customHeight="1">
      <c r="A62" s="193" t="s">
        <v>445</v>
      </c>
      <c r="B62" s="644"/>
      <c r="C62" s="645"/>
      <c r="D62" s="645"/>
      <c r="E62" s="646"/>
      <c r="F62" s="194"/>
      <c r="G62" s="195"/>
      <c r="H62" s="196"/>
      <c r="I62" s="138"/>
    </row>
    <row r="63" spans="1:9" s="42" customFormat="1" ht="11.25" customHeight="1">
      <c r="A63" s="137"/>
      <c r="B63" s="138"/>
      <c r="C63" s="138"/>
      <c r="D63" s="139"/>
      <c r="E63" s="139"/>
      <c r="F63" s="139"/>
      <c r="G63" s="85"/>
      <c r="H63" s="85"/>
      <c r="I63" s="85"/>
    </row>
    <row r="64" spans="1:9" s="42" customFormat="1" ht="11.25" customHeight="1">
      <c r="A64" s="197" t="s">
        <v>175</v>
      </c>
      <c r="B64" s="656"/>
      <c r="C64" s="657"/>
      <c r="D64" s="657"/>
      <c r="E64" s="658"/>
      <c r="F64" s="564"/>
      <c r="G64" s="566"/>
      <c r="H64" s="564"/>
      <c r="I64" s="565"/>
    </row>
    <row r="65" spans="1:9" s="42" customFormat="1" ht="11.25" customHeight="1">
      <c r="A65" s="140"/>
      <c r="B65" s="141"/>
      <c r="C65" s="141"/>
      <c r="D65" s="141"/>
      <c r="E65" s="141"/>
      <c r="F65" s="142"/>
      <c r="G65" s="142"/>
      <c r="H65" s="142"/>
      <c r="I65" s="142"/>
    </row>
    <row r="66" spans="1:9" s="42" customFormat="1" ht="11.25" customHeight="1">
      <c r="A66" s="198" t="s">
        <v>446</v>
      </c>
      <c r="B66" s="642"/>
      <c r="C66" s="661"/>
      <c r="D66" s="661"/>
      <c r="E66" s="643"/>
      <c r="F66" s="642"/>
      <c r="G66" s="643"/>
      <c r="H66" s="642"/>
      <c r="I66" s="661"/>
    </row>
    <row r="67" spans="1:9" s="42" customFormat="1" ht="11.25" customHeight="1">
      <c r="A67" s="199" t="s">
        <v>447</v>
      </c>
      <c r="B67" s="674"/>
      <c r="C67" s="675"/>
      <c r="D67" s="675"/>
      <c r="E67" s="675"/>
      <c r="F67" s="675"/>
      <c r="G67" s="675"/>
      <c r="H67" s="675"/>
      <c r="I67" s="675"/>
    </row>
    <row r="68" spans="1:9" s="42" customFormat="1" ht="11.25" customHeight="1">
      <c r="A68" s="140"/>
      <c r="B68" s="141"/>
      <c r="C68" s="141"/>
      <c r="D68" s="142"/>
      <c r="E68" s="142"/>
      <c r="F68" s="143"/>
      <c r="G68" s="143"/>
      <c r="H68" s="143"/>
      <c r="I68" s="143"/>
    </row>
    <row r="69" spans="1:9" s="42" customFormat="1" ht="11.25" customHeight="1">
      <c r="A69" s="198" t="s">
        <v>176</v>
      </c>
      <c r="B69" s="676">
        <f>B46</f>
        <v>2020</v>
      </c>
      <c r="C69" s="677"/>
      <c r="D69" s="677"/>
      <c r="E69" s="678"/>
      <c r="F69" s="676">
        <f>F46</f>
        <v>2019</v>
      </c>
      <c r="G69" s="678"/>
      <c r="H69" s="676">
        <f>H46</f>
        <v>2018</v>
      </c>
      <c r="I69" s="677"/>
    </row>
    <row r="70" spans="1:9" s="42" customFormat="1" ht="11.25" customHeight="1">
      <c r="A70" s="199" t="s">
        <v>447</v>
      </c>
      <c r="B70" s="672"/>
      <c r="C70" s="673"/>
      <c r="D70" s="200"/>
      <c r="E70" s="200"/>
      <c r="F70" s="672"/>
      <c r="G70" s="673"/>
      <c r="H70" s="672"/>
      <c r="I70" s="673"/>
    </row>
    <row r="71" spans="1:6" s="42" customFormat="1" ht="11.25" customHeight="1">
      <c r="A71" s="85"/>
      <c r="B71" s="144"/>
      <c r="C71" s="145"/>
      <c r="D71" s="145"/>
      <c r="E71" s="145"/>
      <c r="F71" s="145"/>
    </row>
    <row r="72" spans="1:9" s="42" customFormat="1" ht="11.25" customHeight="1">
      <c r="A72" s="198" t="s">
        <v>448</v>
      </c>
      <c r="B72" s="639">
        <f>B69</f>
        <v>2020</v>
      </c>
      <c r="C72" s="640"/>
      <c r="D72" s="640"/>
      <c r="E72" s="641"/>
      <c r="F72" s="639">
        <f>F69</f>
        <v>2019</v>
      </c>
      <c r="G72" s="641"/>
      <c r="H72" s="639">
        <f>H69</f>
        <v>2018</v>
      </c>
      <c r="I72" s="640"/>
    </row>
    <row r="73" spans="1:9" s="42" customFormat="1" ht="11.25" customHeight="1">
      <c r="A73" s="201" t="s">
        <v>449</v>
      </c>
      <c r="B73" s="663"/>
      <c r="C73" s="663"/>
      <c r="D73" s="203"/>
      <c r="E73" s="85"/>
      <c r="F73" s="663"/>
      <c r="G73" s="663"/>
      <c r="H73" s="663"/>
      <c r="I73" s="663"/>
    </row>
    <row r="74" spans="1:9" s="42" customFormat="1" ht="11.25" customHeight="1">
      <c r="A74" s="204" t="s">
        <v>450</v>
      </c>
      <c r="B74" s="663"/>
      <c r="C74" s="663"/>
      <c r="D74" s="203"/>
      <c r="E74" s="85"/>
      <c r="F74" s="663"/>
      <c r="G74" s="663"/>
      <c r="H74" s="663"/>
      <c r="I74" s="663"/>
    </row>
    <row r="75" spans="1:9" s="42" customFormat="1" ht="11.25" customHeight="1">
      <c r="A75" s="85" t="s">
        <v>451</v>
      </c>
      <c r="B75" s="663"/>
      <c r="C75" s="663"/>
      <c r="D75" s="203"/>
      <c r="E75" s="85"/>
      <c r="F75" s="663"/>
      <c r="G75" s="663"/>
      <c r="H75" s="663"/>
      <c r="I75" s="663"/>
    </row>
    <row r="76" spans="1:9" s="42" customFormat="1" ht="11.25" customHeight="1">
      <c r="A76" s="205" t="s">
        <v>452</v>
      </c>
      <c r="B76" s="663"/>
      <c r="C76" s="663"/>
      <c r="D76" s="206"/>
      <c r="E76" s="146"/>
      <c r="F76" s="663"/>
      <c r="G76" s="663"/>
      <c r="H76" s="663"/>
      <c r="I76" s="663"/>
    </row>
    <row r="77" spans="1:7" s="42" customFormat="1" ht="11.25" customHeight="1">
      <c r="A77" s="207"/>
      <c r="B77" s="207"/>
      <c r="C77" s="207"/>
      <c r="D77" s="207"/>
      <c r="E77" s="207"/>
      <c r="F77" s="207"/>
      <c r="G77" s="85"/>
    </row>
    <row r="78" spans="1:9" s="42" customFormat="1" ht="11.25" customHeight="1">
      <c r="A78" s="208" t="s">
        <v>177</v>
      </c>
      <c r="B78" s="642">
        <f>B72</f>
        <v>2020</v>
      </c>
      <c r="C78" s="661"/>
      <c r="D78" s="661"/>
      <c r="E78" s="643"/>
      <c r="F78" s="642">
        <f>F72</f>
        <v>2019</v>
      </c>
      <c r="G78" s="643"/>
      <c r="H78" s="642">
        <f>H72</f>
        <v>2018</v>
      </c>
      <c r="I78" s="661"/>
    </row>
    <row r="79" spans="1:9" s="42" customFormat="1" ht="11.25" customHeight="1">
      <c r="A79" s="209" t="s">
        <v>453</v>
      </c>
      <c r="B79" s="663"/>
      <c r="C79" s="663"/>
      <c r="D79" s="209"/>
      <c r="E79" s="209"/>
      <c r="F79" s="663"/>
      <c r="G79" s="663"/>
      <c r="H79" s="663"/>
      <c r="I79" s="663"/>
    </row>
    <row r="80" spans="1:9" s="42" customFormat="1" ht="11.25" customHeight="1">
      <c r="A80" s="210" t="s">
        <v>454</v>
      </c>
      <c r="B80" s="663"/>
      <c r="C80" s="663"/>
      <c r="D80" s="210"/>
      <c r="E80" s="210"/>
      <c r="F80" s="663"/>
      <c r="G80" s="663"/>
      <c r="H80" s="663"/>
      <c r="I80" s="663"/>
    </row>
    <row r="81" spans="1:9" s="42" customFormat="1" ht="11.25" customHeight="1">
      <c r="A81" s="211" t="s">
        <v>455</v>
      </c>
      <c r="B81" s="663"/>
      <c r="C81" s="663"/>
      <c r="D81" s="212"/>
      <c r="E81" s="212"/>
      <c r="F81" s="663"/>
      <c r="G81" s="663"/>
      <c r="H81" s="663"/>
      <c r="I81" s="663"/>
    </row>
    <row r="82" spans="1:9" s="42" customFormat="1" ht="11.25" customHeight="1" thickBot="1">
      <c r="A82" s="147"/>
      <c r="B82" s="148"/>
      <c r="C82" s="148"/>
      <c r="D82" s="125"/>
      <c r="E82" s="125"/>
      <c r="F82" s="125"/>
      <c r="G82" s="85"/>
      <c r="H82" s="85"/>
      <c r="I82" s="85"/>
    </row>
    <row r="83" spans="1:9" s="42" customFormat="1" ht="11.25" customHeight="1">
      <c r="A83" s="665" t="s">
        <v>456</v>
      </c>
      <c r="B83" s="666"/>
      <c r="C83" s="666"/>
      <c r="D83" s="666"/>
      <c r="E83" s="666"/>
      <c r="F83" s="666"/>
      <c r="G83" s="666"/>
      <c r="H83" s="666"/>
      <c r="I83" s="666"/>
    </row>
    <row r="84" spans="1:9" s="42" customFormat="1" ht="11.25" customHeight="1">
      <c r="A84" s="213" t="s">
        <v>413</v>
      </c>
      <c r="B84" s="639">
        <f>B78</f>
        <v>2020</v>
      </c>
      <c r="C84" s="640"/>
      <c r="D84" s="640"/>
      <c r="E84" s="641"/>
      <c r="F84" s="642">
        <f>F78</f>
        <v>2019</v>
      </c>
      <c r="G84" s="643"/>
      <c r="H84" s="642">
        <f>H78</f>
        <v>2018</v>
      </c>
      <c r="I84" s="661"/>
    </row>
    <row r="85" spans="1:9" s="42" customFormat="1" ht="11.25" customHeight="1">
      <c r="A85" s="125" t="s">
        <v>457</v>
      </c>
      <c r="B85" s="662"/>
      <c r="C85" s="638"/>
      <c r="D85" s="125"/>
      <c r="E85" s="53"/>
      <c r="F85" s="662"/>
      <c r="G85" s="638"/>
      <c r="H85" s="662"/>
      <c r="I85" s="638"/>
    </row>
    <row r="86" spans="1:9" s="42" customFormat="1" ht="11.25" customHeight="1">
      <c r="A86" s="126" t="s">
        <v>458</v>
      </c>
      <c r="B86" s="662"/>
      <c r="C86" s="638"/>
      <c r="D86" s="127"/>
      <c r="E86" s="128"/>
      <c r="F86" s="662"/>
      <c r="G86" s="638"/>
      <c r="H86" s="662"/>
      <c r="I86" s="638"/>
    </row>
    <row r="87" spans="1:9" s="42" customFormat="1" ht="11.25" customHeight="1">
      <c r="A87" s="129" t="s">
        <v>416</v>
      </c>
      <c r="B87" s="662"/>
      <c r="C87" s="638"/>
      <c r="D87" s="127"/>
      <c r="E87" s="128"/>
      <c r="F87" s="662"/>
      <c r="G87" s="638"/>
      <c r="H87" s="662"/>
      <c r="I87" s="638"/>
    </row>
    <row r="88" spans="1:9" s="42" customFormat="1" ht="11.25" customHeight="1">
      <c r="A88" s="131" t="s">
        <v>417</v>
      </c>
      <c r="B88" s="662"/>
      <c r="C88" s="638"/>
      <c r="D88" s="127"/>
      <c r="E88" s="128"/>
      <c r="F88" s="662"/>
      <c r="G88" s="638"/>
      <c r="H88" s="662"/>
      <c r="I88" s="638"/>
    </row>
    <row r="89" spans="1:9" s="42" customFormat="1" ht="11.25" customHeight="1">
      <c r="A89" s="131" t="s">
        <v>418</v>
      </c>
      <c r="B89" s="662"/>
      <c r="C89" s="638"/>
      <c r="D89" s="127"/>
      <c r="E89" s="128"/>
      <c r="F89" s="662"/>
      <c r="G89" s="638"/>
      <c r="H89" s="662"/>
      <c r="I89" s="638"/>
    </row>
    <row r="90" spans="1:9" s="42" customFormat="1" ht="11.25" customHeight="1">
      <c r="A90" s="131" t="s">
        <v>419</v>
      </c>
      <c r="B90" s="662"/>
      <c r="C90" s="638"/>
      <c r="D90" s="127"/>
      <c r="E90" s="128"/>
      <c r="F90" s="662"/>
      <c r="G90" s="638"/>
      <c r="H90" s="662"/>
      <c r="I90" s="638"/>
    </row>
    <row r="91" spans="1:9" s="42" customFormat="1" ht="11.25" customHeight="1">
      <c r="A91" s="129" t="s">
        <v>420</v>
      </c>
      <c r="B91" s="662"/>
      <c r="C91" s="638"/>
      <c r="D91" s="127"/>
      <c r="E91" s="128"/>
      <c r="F91" s="662"/>
      <c r="G91" s="638"/>
      <c r="H91" s="662"/>
      <c r="I91" s="638"/>
    </row>
    <row r="92" spans="1:9" s="42" customFormat="1" ht="11.25" customHeight="1">
      <c r="A92" s="131" t="s">
        <v>417</v>
      </c>
      <c r="B92" s="662"/>
      <c r="C92" s="638"/>
      <c r="D92" s="127"/>
      <c r="E92" s="128"/>
      <c r="F92" s="662"/>
      <c r="G92" s="638"/>
      <c r="H92" s="662"/>
      <c r="I92" s="638"/>
    </row>
    <row r="93" spans="1:9" s="42" customFormat="1" ht="11.25" customHeight="1">
      <c r="A93" s="131" t="s">
        <v>418</v>
      </c>
      <c r="B93" s="662"/>
      <c r="C93" s="638"/>
      <c r="D93" s="127"/>
      <c r="E93" s="128"/>
      <c r="F93" s="662"/>
      <c r="G93" s="638"/>
      <c r="H93" s="662"/>
      <c r="I93" s="638"/>
    </row>
    <row r="94" spans="1:9" s="42" customFormat="1" ht="11.25" customHeight="1">
      <c r="A94" s="131" t="s">
        <v>419</v>
      </c>
      <c r="B94" s="662"/>
      <c r="C94" s="638"/>
      <c r="D94" s="127"/>
      <c r="E94" s="128"/>
      <c r="F94" s="662"/>
      <c r="G94" s="638"/>
      <c r="H94" s="662"/>
      <c r="I94" s="638"/>
    </row>
    <row r="95" spans="1:9" s="42" customFormat="1" ht="11.25" customHeight="1">
      <c r="A95" s="126" t="s">
        <v>459</v>
      </c>
      <c r="B95" s="662"/>
      <c r="C95" s="638"/>
      <c r="D95" s="127"/>
      <c r="E95" s="128"/>
      <c r="F95" s="662"/>
      <c r="G95" s="638"/>
      <c r="H95" s="662"/>
      <c r="I95" s="638"/>
    </row>
    <row r="96" spans="1:9" s="42" customFormat="1" ht="11.25" customHeight="1">
      <c r="A96" s="129" t="s">
        <v>416</v>
      </c>
      <c r="B96" s="662"/>
      <c r="C96" s="638"/>
      <c r="D96" s="127"/>
      <c r="E96" s="128"/>
      <c r="F96" s="662"/>
      <c r="G96" s="638"/>
      <c r="H96" s="662"/>
      <c r="I96" s="638"/>
    </row>
    <row r="97" spans="1:9" s="42" customFormat="1" ht="11.25" customHeight="1">
      <c r="A97" s="131" t="s">
        <v>417</v>
      </c>
      <c r="B97" s="662"/>
      <c r="C97" s="638"/>
      <c r="D97" s="127"/>
      <c r="E97" s="128"/>
      <c r="F97" s="662"/>
      <c r="G97" s="638"/>
      <c r="H97" s="662"/>
      <c r="I97" s="638"/>
    </row>
    <row r="98" spans="1:9" s="42" customFormat="1" ht="11.25" customHeight="1">
      <c r="A98" s="131" t="s">
        <v>418</v>
      </c>
      <c r="B98" s="662"/>
      <c r="C98" s="638"/>
      <c r="D98" s="127"/>
      <c r="E98" s="128"/>
      <c r="F98" s="662"/>
      <c r="G98" s="638"/>
      <c r="H98" s="662"/>
      <c r="I98" s="638"/>
    </row>
    <row r="99" spans="1:9" s="42" customFormat="1" ht="11.25" customHeight="1">
      <c r="A99" s="131" t="s">
        <v>419</v>
      </c>
      <c r="B99" s="662"/>
      <c r="C99" s="638"/>
      <c r="D99" s="127"/>
      <c r="E99" s="128"/>
      <c r="F99" s="662"/>
      <c r="G99" s="638"/>
      <c r="H99" s="662"/>
      <c r="I99" s="638"/>
    </row>
    <row r="100" spans="1:9" s="42" customFormat="1" ht="11.25" customHeight="1">
      <c r="A100" s="129" t="s">
        <v>420</v>
      </c>
      <c r="B100" s="662"/>
      <c r="C100" s="638"/>
      <c r="D100" s="127"/>
      <c r="E100" s="128"/>
      <c r="F100" s="662"/>
      <c r="G100" s="638"/>
      <c r="H100" s="662"/>
      <c r="I100" s="638"/>
    </row>
    <row r="101" spans="1:9" s="42" customFormat="1" ht="11.25" customHeight="1">
      <c r="A101" s="131" t="s">
        <v>417</v>
      </c>
      <c r="B101" s="662"/>
      <c r="C101" s="638"/>
      <c r="D101" s="127"/>
      <c r="E101" s="128"/>
      <c r="F101" s="662"/>
      <c r="G101" s="638"/>
      <c r="H101" s="662"/>
      <c r="I101" s="638"/>
    </row>
    <row r="102" spans="1:9" s="42" customFormat="1" ht="11.25" customHeight="1">
      <c r="A102" s="131" t="s">
        <v>418</v>
      </c>
      <c r="B102" s="662"/>
      <c r="C102" s="638"/>
      <c r="D102" s="127"/>
      <c r="E102" s="128"/>
      <c r="F102" s="662"/>
      <c r="G102" s="638"/>
      <c r="H102" s="662"/>
      <c r="I102" s="638"/>
    </row>
    <row r="103" spans="1:9" s="42" customFormat="1" ht="11.25" customHeight="1">
      <c r="A103" s="131" t="s">
        <v>419</v>
      </c>
      <c r="B103" s="662"/>
      <c r="C103" s="638"/>
      <c r="D103" s="127"/>
      <c r="E103" s="128"/>
      <c r="F103" s="662"/>
      <c r="G103" s="638"/>
      <c r="H103" s="662"/>
      <c r="I103" s="638"/>
    </row>
    <row r="104" spans="1:9" s="42" customFormat="1" ht="11.25" customHeight="1">
      <c r="A104" s="129" t="s">
        <v>472</v>
      </c>
      <c r="B104" s="662"/>
      <c r="C104" s="638"/>
      <c r="D104" s="127"/>
      <c r="E104" s="128"/>
      <c r="F104" s="662"/>
      <c r="G104" s="638"/>
      <c r="H104" s="662"/>
      <c r="I104" s="638"/>
    </row>
    <row r="105" spans="1:9" s="42" customFormat="1" ht="11.25" customHeight="1">
      <c r="A105" s="126" t="s">
        <v>240</v>
      </c>
      <c r="B105" s="662"/>
      <c r="C105" s="638"/>
      <c r="D105" s="127"/>
      <c r="E105" s="128"/>
      <c r="F105" s="662"/>
      <c r="G105" s="638"/>
      <c r="H105" s="662"/>
      <c r="I105" s="638"/>
    </row>
    <row r="106" spans="1:9" s="42" customFormat="1" ht="11.25" customHeight="1">
      <c r="A106" s="129" t="s">
        <v>423</v>
      </c>
      <c r="B106" s="662"/>
      <c r="C106" s="638"/>
      <c r="D106" s="127"/>
      <c r="E106" s="128"/>
      <c r="F106" s="662"/>
      <c r="G106" s="638"/>
      <c r="H106" s="662"/>
      <c r="I106" s="638"/>
    </row>
    <row r="107" spans="1:9" s="42" customFormat="1" ht="11.25" customHeight="1">
      <c r="A107" s="129" t="s">
        <v>424</v>
      </c>
      <c r="B107" s="662"/>
      <c r="C107" s="638"/>
      <c r="D107" s="127"/>
      <c r="E107" s="128"/>
      <c r="F107" s="662"/>
      <c r="G107" s="638"/>
      <c r="H107" s="662"/>
      <c r="I107" s="638"/>
    </row>
    <row r="108" spans="1:9" s="42" customFormat="1" ht="11.25" customHeight="1">
      <c r="A108" s="129" t="s">
        <v>425</v>
      </c>
      <c r="B108" s="662"/>
      <c r="C108" s="638"/>
      <c r="D108" s="127"/>
      <c r="E108" s="128"/>
      <c r="F108" s="662"/>
      <c r="G108" s="638"/>
      <c r="H108" s="662"/>
      <c r="I108" s="638"/>
    </row>
    <row r="109" spans="1:9" s="42" customFormat="1" ht="11.25" customHeight="1">
      <c r="A109" s="126" t="s">
        <v>263</v>
      </c>
      <c r="B109" s="662"/>
      <c r="C109" s="638"/>
      <c r="D109" s="127"/>
      <c r="E109" s="128"/>
      <c r="F109" s="662"/>
      <c r="G109" s="638"/>
      <c r="H109" s="662"/>
      <c r="I109" s="638"/>
    </row>
    <row r="110" spans="1:9" s="42" customFormat="1" ht="11.25" customHeight="1">
      <c r="A110" s="126" t="s">
        <v>319</v>
      </c>
      <c r="B110" s="662"/>
      <c r="C110" s="638"/>
      <c r="D110" s="127"/>
      <c r="E110" s="128"/>
      <c r="F110" s="662"/>
      <c r="G110" s="638"/>
      <c r="H110" s="662"/>
      <c r="I110" s="638"/>
    </row>
    <row r="111" spans="1:9" s="42" customFormat="1" ht="11.25" customHeight="1">
      <c r="A111" s="129" t="s">
        <v>427</v>
      </c>
      <c r="B111" s="662"/>
      <c r="C111" s="638"/>
      <c r="D111" s="127"/>
      <c r="E111" s="128"/>
      <c r="F111" s="662"/>
      <c r="G111" s="638"/>
      <c r="H111" s="662"/>
      <c r="I111" s="638"/>
    </row>
    <row r="112" spans="1:9" s="42" customFormat="1" ht="11.25" customHeight="1">
      <c r="A112" s="129" t="s">
        <v>325</v>
      </c>
      <c r="B112" s="662"/>
      <c r="C112" s="638"/>
      <c r="D112" s="127"/>
      <c r="E112" s="128"/>
      <c r="F112" s="662"/>
      <c r="G112" s="638"/>
      <c r="H112" s="662"/>
      <c r="I112" s="638"/>
    </row>
    <row r="113" spans="1:9" s="42" customFormat="1" ht="11.25" customHeight="1">
      <c r="A113" s="44" t="s">
        <v>460</v>
      </c>
      <c r="B113" s="662"/>
      <c r="C113" s="638"/>
      <c r="D113" s="127"/>
      <c r="E113" s="128"/>
      <c r="F113" s="662"/>
      <c r="G113" s="638"/>
      <c r="H113" s="662"/>
      <c r="I113" s="638"/>
    </row>
    <row r="114" spans="1:9" s="42" customFormat="1" ht="11.25" customHeight="1">
      <c r="A114" s="126" t="s">
        <v>429</v>
      </c>
      <c r="B114" s="662"/>
      <c r="C114" s="638"/>
      <c r="D114" s="127"/>
      <c r="E114" s="128"/>
      <c r="F114" s="662"/>
      <c r="G114" s="638"/>
      <c r="H114" s="662"/>
      <c r="I114" s="638"/>
    </row>
    <row r="115" spans="1:9" s="42" customFormat="1" ht="11.25" customHeight="1">
      <c r="A115" s="126" t="s">
        <v>344</v>
      </c>
      <c r="B115" s="662"/>
      <c r="C115" s="638"/>
      <c r="D115" s="127"/>
      <c r="E115" s="128"/>
      <c r="F115" s="662"/>
      <c r="G115" s="638"/>
      <c r="H115" s="662"/>
      <c r="I115" s="638"/>
    </row>
    <row r="116" spans="1:9" s="42" customFormat="1" ht="11.25" customHeight="1">
      <c r="A116" s="126" t="s">
        <v>355</v>
      </c>
      <c r="B116" s="662"/>
      <c r="C116" s="638"/>
      <c r="D116" s="127"/>
      <c r="E116" s="128"/>
      <c r="F116" s="662"/>
      <c r="G116" s="638"/>
      <c r="H116" s="662"/>
      <c r="I116" s="638"/>
    </row>
    <row r="117" spans="1:9" s="42" customFormat="1" ht="11.25" customHeight="1">
      <c r="A117" s="214" t="s">
        <v>461</v>
      </c>
      <c r="B117" s="215"/>
      <c r="C117" s="214"/>
      <c r="D117" s="216"/>
      <c r="E117" s="217"/>
      <c r="F117" s="218"/>
      <c r="G117" s="217"/>
      <c r="H117" s="216"/>
      <c r="I117" s="216"/>
    </row>
    <row r="118" spans="2:6" s="42" customFormat="1" ht="11.25" customHeight="1">
      <c r="B118" s="132"/>
      <c r="C118" s="132"/>
      <c r="D118" s="132"/>
      <c r="E118" s="132"/>
      <c r="F118" s="130"/>
    </row>
    <row r="119" spans="1:9" s="42" customFormat="1" ht="11.25" customHeight="1">
      <c r="A119" s="192" t="s">
        <v>431</v>
      </c>
      <c r="B119" s="642">
        <f>B84</f>
        <v>2020</v>
      </c>
      <c r="C119" s="661"/>
      <c r="D119" s="661"/>
      <c r="E119" s="219"/>
      <c r="F119" s="642">
        <f>F84</f>
        <v>2019</v>
      </c>
      <c r="G119" s="643"/>
      <c r="H119" s="642">
        <f>H84</f>
        <v>2018</v>
      </c>
      <c r="I119" s="661"/>
    </row>
    <row r="120" spans="1:9" s="42" customFormat="1" ht="11.25" customHeight="1">
      <c r="A120" s="133" t="s">
        <v>462</v>
      </c>
      <c r="B120" s="662"/>
      <c r="C120" s="638"/>
      <c r="D120" s="161"/>
      <c r="E120" s="161"/>
      <c r="F120" s="662"/>
      <c r="G120" s="638"/>
      <c r="H120" s="662"/>
      <c r="I120" s="638"/>
    </row>
    <row r="121" spans="1:9" s="42" customFormat="1" ht="11.25" customHeight="1">
      <c r="A121" s="134" t="s">
        <v>433</v>
      </c>
      <c r="B121" s="662"/>
      <c r="C121" s="638"/>
      <c r="D121" s="161"/>
      <c r="E121" s="161"/>
      <c r="F121" s="662"/>
      <c r="G121" s="638"/>
      <c r="H121" s="662"/>
      <c r="I121" s="638"/>
    </row>
    <row r="122" spans="1:9" s="42" customFormat="1" ht="11.25" customHeight="1">
      <c r="A122" s="134" t="s">
        <v>434</v>
      </c>
      <c r="B122" s="662"/>
      <c r="C122" s="638"/>
      <c r="D122" s="161"/>
      <c r="E122" s="161"/>
      <c r="F122" s="662"/>
      <c r="G122" s="638"/>
      <c r="H122" s="662"/>
      <c r="I122" s="638"/>
    </row>
    <row r="123" spans="1:9" s="42" customFormat="1" ht="11.25" customHeight="1">
      <c r="A123" s="135" t="s">
        <v>463</v>
      </c>
      <c r="B123" s="662"/>
      <c r="C123" s="638"/>
      <c r="D123" s="161"/>
      <c r="E123" s="161"/>
      <c r="F123" s="662"/>
      <c r="G123" s="638"/>
      <c r="H123" s="662"/>
      <c r="I123" s="638"/>
    </row>
    <row r="124" spans="1:9" s="42" customFormat="1" ht="11.25" customHeight="1">
      <c r="A124" s="126" t="s">
        <v>436</v>
      </c>
      <c r="B124" s="662"/>
      <c r="C124" s="638"/>
      <c r="D124" s="161"/>
      <c r="E124" s="161"/>
      <c r="F124" s="662"/>
      <c r="G124" s="638"/>
      <c r="H124" s="662"/>
      <c r="I124" s="638"/>
    </row>
    <row r="125" spans="1:9" s="42" customFormat="1" ht="11.25" customHeight="1">
      <c r="A125" s="136" t="s">
        <v>464</v>
      </c>
      <c r="B125" s="662"/>
      <c r="C125" s="638"/>
      <c r="D125" s="161"/>
      <c r="E125" s="161"/>
      <c r="F125" s="662"/>
      <c r="G125" s="638"/>
      <c r="H125" s="662"/>
      <c r="I125" s="638"/>
    </row>
    <row r="126" spans="1:9" s="42" customFormat="1" ht="11.25" customHeight="1">
      <c r="A126" s="136" t="s">
        <v>438</v>
      </c>
      <c r="B126" s="662"/>
      <c r="C126" s="638"/>
      <c r="D126" s="161"/>
      <c r="E126" s="161"/>
      <c r="F126" s="662"/>
      <c r="G126" s="638"/>
      <c r="H126" s="662"/>
      <c r="I126" s="638"/>
    </row>
    <row r="127" spans="1:9" s="42" customFormat="1" ht="11.25" customHeight="1">
      <c r="A127" s="136" t="s">
        <v>439</v>
      </c>
      <c r="B127" s="662"/>
      <c r="C127" s="638"/>
      <c r="D127" s="161"/>
      <c r="E127" s="161"/>
      <c r="F127" s="662"/>
      <c r="G127" s="638"/>
      <c r="H127" s="662"/>
      <c r="I127" s="638"/>
    </row>
    <row r="128" spans="1:9" s="42" customFormat="1" ht="11.25" customHeight="1">
      <c r="A128" s="126" t="s">
        <v>440</v>
      </c>
      <c r="B128" s="662"/>
      <c r="C128" s="638"/>
      <c r="D128" s="161"/>
      <c r="E128" s="161"/>
      <c r="F128" s="662"/>
      <c r="G128" s="638"/>
      <c r="H128" s="662"/>
      <c r="I128" s="638"/>
    </row>
    <row r="129" spans="1:9" s="42" customFormat="1" ht="11.25" customHeight="1">
      <c r="A129" s="136" t="s">
        <v>441</v>
      </c>
      <c r="B129" s="662"/>
      <c r="C129" s="638"/>
      <c r="D129" s="161"/>
      <c r="E129" s="161"/>
      <c r="F129" s="662"/>
      <c r="G129" s="638"/>
      <c r="H129" s="662"/>
      <c r="I129" s="638"/>
    </row>
    <row r="130" spans="1:9" s="42" customFormat="1" ht="11.25" customHeight="1">
      <c r="A130" s="136" t="s">
        <v>438</v>
      </c>
      <c r="B130" s="662"/>
      <c r="C130" s="638"/>
      <c r="D130" s="161"/>
      <c r="E130" s="161"/>
      <c r="F130" s="662"/>
      <c r="G130" s="638"/>
      <c r="H130" s="662"/>
      <c r="I130" s="638"/>
    </row>
    <row r="131" spans="1:9" s="42" customFormat="1" ht="11.25" customHeight="1">
      <c r="A131" s="136" t="s">
        <v>439</v>
      </c>
      <c r="B131" s="662"/>
      <c r="C131" s="638"/>
      <c r="D131" s="161"/>
      <c r="E131" s="161"/>
      <c r="F131" s="662"/>
      <c r="G131" s="638"/>
      <c r="H131" s="662"/>
      <c r="I131" s="638"/>
    </row>
    <row r="132" spans="1:9" s="42" customFormat="1" ht="11.25" customHeight="1">
      <c r="A132" s="134" t="s">
        <v>442</v>
      </c>
      <c r="B132" s="662"/>
      <c r="C132" s="638"/>
      <c r="D132" s="161"/>
      <c r="E132" s="161"/>
      <c r="F132" s="662"/>
      <c r="G132" s="638"/>
      <c r="H132" s="662"/>
      <c r="I132" s="638"/>
    </row>
    <row r="133" spans="1:9" s="42" customFormat="1" ht="11.25" customHeight="1">
      <c r="A133" s="136" t="s">
        <v>443</v>
      </c>
      <c r="B133" s="662"/>
      <c r="C133" s="638"/>
      <c r="D133" s="161"/>
      <c r="E133" s="161"/>
      <c r="F133" s="662"/>
      <c r="G133" s="638"/>
      <c r="H133" s="662"/>
      <c r="I133" s="638"/>
    </row>
    <row r="134" spans="1:9" s="42" customFormat="1" ht="11.25" customHeight="1">
      <c r="A134" s="136" t="s">
        <v>444</v>
      </c>
      <c r="B134" s="662"/>
      <c r="C134" s="638"/>
      <c r="D134" s="161"/>
      <c r="E134" s="161"/>
      <c r="F134" s="662"/>
      <c r="G134" s="638"/>
      <c r="H134" s="662"/>
      <c r="I134" s="638"/>
    </row>
    <row r="135" spans="1:9" s="42" customFormat="1" ht="11.25" customHeight="1">
      <c r="A135" s="193" t="s">
        <v>465</v>
      </c>
      <c r="B135" s="644"/>
      <c r="C135" s="645"/>
      <c r="D135" s="645"/>
      <c r="E135" s="646"/>
      <c r="F135" s="544"/>
      <c r="G135" s="546"/>
      <c r="H135" s="659"/>
      <c r="I135" s="660"/>
    </row>
    <row r="136" spans="1:9" s="42" customFormat="1" ht="11.25" customHeight="1">
      <c r="A136" s="137"/>
      <c r="B136" s="138"/>
      <c r="C136" s="138"/>
      <c r="D136" s="139"/>
      <c r="E136" s="139"/>
      <c r="F136" s="139"/>
      <c r="G136" s="85"/>
      <c r="H136" s="85"/>
      <c r="I136" s="85"/>
    </row>
    <row r="137" spans="1:9" s="42" customFormat="1" ht="11.25" customHeight="1">
      <c r="A137" s="197" t="s">
        <v>466</v>
      </c>
      <c r="B137" s="656"/>
      <c r="C137" s="657"/>
      <c r="D137" s="657"/>
      <c r="E137" s="658"/>
      <c r="F137" s="564"/>
      <c r="G137" s="566"/>
      <c r="H137" s="564"/>
      <c r="I137" s="565"/>
    </row>
    <row r="138" spans="1:6" s="42" customFormat="1" ht="11.25" customHeight="1">
      <c r="A138" s="85"/>
      <c r="B138" s="144"/>
      <c r="C138" s="145"/>
      <c r="D138" s="145"/>
      <c r="E138" s="145"/>
      <c r="F138" s="145"/>
    </row>
    <row r="139" spans="1:9" s="42" customFormat="1" ht="11.25" customHeight="1">
      <c r="A139" s="198" t="s">
        <v>467</v>
      </c>
      <c r="B139" s="639">
        <f>B119</f>
        <v>2020</v>
      </c>
      <c r="C139" s="640"/>
      <c r="D139" s="640"/>
      <c r="E139" s="641"/>
      <c r="F139" s="639">
        <f>F119</f>
        <v>2019</v>
      </c>
      <c r="G139" s="641"/>
      <c r="H139" s="639">
        <f>H119</f>
        <v>2018</v>
      </c>
      <c r="I139" s="640"/>
    </row>
    <row r="140" spans="1:9" s="42" customFormat="1" ht="11.25" customHeight="1">
      <c r="A140" s="201" t="s">
        <v>468</v>
      </c>
      <c r="B140" s="662"/>
      <c r="C140" s="638"/>
      <c r="D140" s="203"/>
      <c r="E140" s="85"/>
      <c r="F140" s="662"/>
      <c r="G140" s="638"/>
      <c r="H140" s="662"/>
      <c r="I140" s="638"/>
    </row>
    <row r="141" spans="1:9" s="42" customFormat="1" ht="11.25" customHeight="1">
      <c r="A141" s="220" t="s">
        <v>469</v>
      </c>
      <c r="B141" s="662"/>
      <c r="C141" s="638"/>
      <c r="D141" s="206"/>
      <c r="E141" s="146"/>
      <c r="F141" s="662"/>
      <c r="G141" s="638"/>
      <c r="H141" s="662"/>
      <c r="I141" s="638"/>
    </row>
    <row r="142" spans="1:9" s="42" customFormat="1" ht="11.25" customHeight="1" thickBot="1">
      <c r="A142" s="221"/>
      <c r="B142" s="222"/>
      <c r="C142" s="222"/>
      <c r="D142" s="223"/>
      <c r="E142" s="149"/>
      <c r="F142" s="223"/>
      <c r="G142" s="149"/>
      <c r="H142" s="223"/>
      <c r="I142" s="149"/>
    </row>
    <row r="143" spans="1:9" s="42" customFormat="1" ht="11.25" customHeight="1" thickBot="1">
      <c r="A143" s="653" t="s">
        <v>470</v>
      </c>
      <c r="B143" s="653"/>
      <c r="C143" s="653"/>
      <c r="D143" s="653"/>
      <c r="E143" s="653"/>
      <c r="F143" s="653"/>
      <c r="G143" s="653"/>
      <c r="H143" s="653"/>
      <c r="I143" s="653"/>
    </row>
    <row r="144" spans="1:9" s="42" customFormat="1" ht="11.25" customHeight="1">
      <c r="A144" s="654"/>
      <c r="B144" s="655"/>
      <c r="C144" s="655"/>
      <c r="D144" s="655"/>
      <c r="E144" s="655"/>
      <c r="F144" s="655"/>
      <c r="G144" s="655"/>
      <c r="H144" s="655"/>
      <c r="I144" s="655"/>
    </row>
    <row r="145" spans="1:9" s="42" customFormat="1" ht="11.25" customHeight="1">
      <c r="A145" s="224" t="s">
        <v>102</v>
      </c>
      <c r="B145" s="225" t="s">
        <v>473</v>
      </c>
      <c r="C145" s="642" t="s">
        <v>474</v>
      </c>
      <c r="D145" s="640"/>
      <c r="E145" s="641"/>
      <c r="F145" s="642" t="s">
        <v>475</v>
      </c>
      <c r="G145" s="643"/>
      <c r="H145" s="642" t="s">
        <v>476</v>
      </c>
      <c r="I145" s="661"/>
    </row>
    <row r="146" spans="1:9" s="42" customFormat="1" ht="11.25" customHeight="1">
      <c r="A146" s="669"/>
      <c r="B146" s="154"/>
      <c r="C146" s="154"/>
      <c r="D146" s="154"/>
      <c r="E146" s="155"/>
      <c r="F146" s="602"/>
      <c r="G146" s="638"/>
      <c r="H146" s="602"/>
      <c r="I146" s="638"/>
    </row>
    <row r="147" spans="1:9" s="42" customFormat="1" ht="11.25" customHeight="1">
      <c r="A147" s="670"/>
      <c r="B147" s="156"/>
      <c r="C147" s="156"/>
      <c r="D147" s="156"/>
      <c r="E147" s="156"/>
      <c r="F147" s="602"/>
      <c r="G147" s="638"/>
      <c r="H147" s="602"/>
      <c r="I147" s="638"/>
    </row>
    <row r="148" spans="1:9" s="42" customFormat="1" ht="11.25" customHeight="1">
      <c r="A148" s="670"/>
      <c r="B148" s="157"/>
      <c r="C148" s="157"/>
      <c r="D148" s="156"/>
      <c r="E148" s="156"/>
      <c r="F148" s="602"/>
      <c r="G148" s="638"/>
      <c r="H148" s="602"/>
      <c r="I148" s="638"/>
    </row>
    <row r="149" spans="1:9" s="42" customFormat="1" ht="11.25" customHeight="1">
      <c r="A149" s="670"/>
      <c r="B149" s="157"/>
      <c r="C149" s="157"/>
      <c r="D149" s="156"/>
      <c r="E149" s="156"/>
      <c r="F149" s="602"/>
      <c r="G149" s="638"/>
      <c r="H149" s="602"/>
      <c r="I149" s="638"/>
    </row>
    <row r="150" spans="1:9" s="42" customFormat="1" ht="11.25" customHeight="1">
      <c r="A150" s="670"/>
      <c r="B150" s="157"/>
      <c r="C150" s="157"/>
      <c r="D150" s="156"/>
      <c r="E150" s="156"/>
      <c r="F150" s="602"/>
      <c r="G150" s="638"/>
      <c r="H150" s="602"/>
      <c r="I150" s="638"/>
    </row>
    <row r="151" spans="1:9" s="42" customFormat="1" ht="11.25" customHeight="1">
      <c r="A151" s="670"/>
      <c r="B151" s="157"/>
      <c r="C151" s="157"/>
      <c r="D151" s="156"/>
      <c r="E151" s="156"/>
      <c r="F151" s="602"/>
      <c r="G151" s="638"/>
      <c r="H151" s="602"/>
      <c r="I151" s="638"/>
    </row>
    <row r="152" spans="1:9" s="42" customFormat="1" ht="11.25" customHeight="1">
      <c r="A152" s="670"/>
      <c r="B152" s="157"/>
      <c r="C152" s="157"/>
      <c r="D152" s="156"/>
      <c r="E152" s="156"/>
      <c r="F152" s="602"/>
      <c r="G152" s="638"/>
      <c r="H152" s="602"/>
      <c r="I152" s="638"/>
    </row>
    <row r="153" spans="1:9" s="42" customFormat="1" ht="11.25" customHeight="1">
      <c r="A153" s="671"/>
      <c r="B153" s="202"/>
      <c r="C153" s="202"/>
      <c r="D153" s="226"/>
      <c r="E153" s="158"/>
      <c r="F153" s="602"/>
      <c r="G153" s="638"/>
      <c r="H153" s="602"/>
      <c r="I153" s="638"/>
    </row>
    <row r="154" spans="1:9" ht="11.25" customHeight="1">
      <c r="A154" s="668" t="s">
        <v>471</v>
      </c>
      <c r="B154" s="668"/>
      <c r="C154" s="668"/>
      <c r="D154" s="668"/>
      <c r="E154" s="668"/>
      <c r="F154" s="668"/>
      <c r="G154" s="668"/>
      <c r="H154" s="668"/>
      <c r="I154" s="668"/>
    </row>
    <row r="155" spans="8:9" ht="11.25" customHeight="1">
      <c r="H155" s="302"/>
      <c r="I155" s="302"/>
    </row>
    <row r="156" spans="8:9" ht="11.25" customHeight="1">
      <c r="H156" s="302"/>
      <c r="I156" s="302"/>
    </row>
    <row r="188" spans="8:9" ht="11.25" customHeight="1">
      <c r="H188" s="302"/>
      <c r="I188" s="302"/>
    </row>
    <row r="189" spans="8:9" ht="11.25" customHeight="1">
      <c r="H189" s="302"/>
      <c r="I189" s="302"/>
    </row>
    <row r="199" spans="8:9" ht="11.25" customHeight="1">
      <c r="H199" s="302"/>
      <c r="I199" s="302"/>
    </row>
  </sheetData>
  <sheetProtection/>
  <mergeCells count="387">
    <mergeCell ref="H140:I140"/>
    <mergeCell ref="H141:I141"/>
    <mergeCell ref="H132:I132"/>
    <mergeCell ref="H133:I133"/>
    <mergeCell ref="H134:I134"/>
    <mergeCell ref="H137:I137"/>
    <mergeCell ref="H128:I128"/>
    <mergeCell ref="F132:G132"/>
    <mergeCell ref="H124:I124"/>
    <mergeCell ref="H125:I125"/>
    <mergeCell ref="H126:I126"/>
    <mergeCell ref="H127:I127"/>
    <mergeCell ref="H129:I129"/>
    <mergeCell ref="F131:G131"/>
    <mergeCell ref="F125:G125"/>
    <mergeCell ref="F126:G126"/>
    <mergeCell ref="B132:C132"/>
    <mergeCell ref="B133:C133"/>
    <mergeCell ref="B134:C134"/>
    <mergeCell ref="F120:G120"/>
    <mergeCell ref="F121:G121"/>
    <mergeCell ref="F122:G122"/>
    <mergeCell ref="F123:G123"/>
    <mergeCell ref="F124:G124"/>
    <mergeCell ref="F133:G133"/>
    <mergeCell ref="F134:G134"/>
    <mergeCell ref="F119:G119"/>
    <mergeCell ref="H119:I119"/>
    <mergeCell ref="B130:C130"/>
    <mergeCell ref="B131:C131"/>
    <mergeCell ref="F127:G127"/>
    <mergeCell ref="F128:G128"/>
    <mergeCell ref="F129:G129"/>
    <mergeCell ref="F130:G130"/>
    <mergeCell ref="H130:I130"/>
    <mergeCell ref="H131:I131"/>
    <mergeCell ref="B116:C116"/>
    <mergeCell ref="B119:D119"/>
    <mergeCell ref="B129:C129"/>
    <mergeCell ref="B125:C125"/>
    <mergeCell ref="B126:C126"/>
    <mergeCell ref="B127:C127"/>
    <mergeCell ref="B128:C128"/>
    <mergeCell ref="B120:C120"/>
    <mergeCell ref="B121:C121"/>
    <mergeCell ref="B122:C122"/>
    <mergeCell ref="H121:I121"/>
    <mergeCell ref="H122:I122"/>
    <mergeCell ref="H123:I123"/>
    <mergeCell ref="H109:I109"/>
    <mergeCell ref="H110:I110"/>
    <mergeCell ref="H111:I111"/>
    <mergeCell ref="H112:I112"/>
    <mergeCell ref="H113:I113"/>
    <mergeCell ref="H114:I114"/>
    <mergeCell ref="H115:I115"/>
    <mergeCell ref="H116:I116"/>
    <mergeCell ref="H120:I120"/>
    <mergeCell ref="H101:I101"/>
    <mergeCell ref="H102:I102"/>
    <mergeCell ref="H103:I103"/>
    <mergeCell ref="H104:I104"/>
    <mergeCell ref="H105:I105"/>
    <mergeCell ref="H106:I106"/>
    <mergeCell ref="H107:I107"/>
    <mergeCell ref="H108:I108"/>
    <mergeCell ref="H97:I97"/>
    <mergeCell ref="H98:I98"/>
    <mergeCell ref="H99:I99"/>
    <mergeCell ref="H100:I100"/>
    <mergeCell ref="H93:I93"/>
    <mergeCell ref="H94:I94"/>
    <mergeCell ref="H95:I95"/>
    <mergeCell ref="H96:I96"/>
    <mergeCell ref="H89:I89"/>
    <mergeCell ref="H90:I90"/>
    <mergeCell ref="H91:I91"/>
    <mergeCell ref="H92:I92"/>
    <mergeCell ref="H85:I85"/>
    <mergeCell ref="H86:I86"/>
    <mergeCell ref="H87:I87"/>
    <mergeCell ref="H88:I88"/>
    <mergeCell ref="F114:G114"/>
    <mergeCell ref="F115:G115"/>
    <mergeCell ref="F116:G116"/>
    <mergeCell ref="F109:G109"/>
    <mergeCell ref="F110:G110"/>
    <mergeCell ref="F111:G111"/>
    <mergeCell ref="F112:G112"/>
    <mergeCell ref="F113:G113"/>
    <mergeCell ref="F98:G98"/>
    <mergeCell ref="F89:G89"/>
    <mergeCell ref="F90:G90"/>
    <mergeCell ref="F94:G94"/>
    <mergeCell ref="F95:G95"/>
    <mergeCell ref="F91:G91"/>
    <mergeCell ref="F92:G92"/>
    <mergeCell ref="F93:G93"/>
    <mergeCell ref="F85:G85"/>
    <mergeCell ref="F86:G86"/>
    <mergeCell ref="F87:G87"/>
    <mergeCell ref="F88:G88"/>
    <mergeCell ref="F96:G96"/>
    <mergeCell ref="F97:G97"/>
    <mergeCell ref="F105:G105"/>
    <mergeCell ref="F106:G106"/>
    <mergeCell ref="B100:C100"/>
    <mergeCell ref="F108:G108"/>
    <mergeCell ref="B102:C102"/>
    <mergeCell ref="F104:G104"/>
    <mergeCell ref="F107:G107"/>
    <mergeCell ref="B109:C109"/>
    <mergeCell ref="B113:C113"/>
    <mergeCell ref="B103:C103"/>
    <mergeCell ref="F99:G99"/>
    <mergeCell ref="F102:G102"/>
    <mergeCell ref="F103:G103"/>
    <mergeCell ref="B99:C99"/>
    <mergeCell ref="B111:C111"/>
    <mergeCell ref="F100:G100"/>
    <mergeCell ref="F101:G101"/>
    <mergeCell ref="B93:C93"/>
    <mergeCell ref="B114:C114"/>
    <mergeCell ref="B101:C101"/>
    <mergeCell ref="B110:C110"/>
    <mergeCell ref="B112:C112"/>
    <mergeCell ref="B105:C105"/>
    <mergeCell ref="B106:C106"/>
    <mergeCell ref="B107:C107"/>
    <mergeCell ref="B108:C108"/>
    <mergeCell ref="B98:C98"/>
    <mergeCell ref="B87:C87"/>
    <mergeCell ref="B88:C88"/>
    <mergeCell ref="B89:C89"/>
    <mergeCell ref="B90:C90"/>
    <mergeCell ref="B91:C91"/>
    <mergeCell ref="B92:C92"/>
    <mergeCell ref="H76:I76"/>
    <mergeCell ref="B79:C79"/>
    <mergeCell ref="B75:C75"/>
    <mergeCell ref="B74:C74"/>
    <mergeCell ref="F73:G73"/>
    <mergeCell ref="F74:G74"/>
    <mergeCell ref="H79:I79"/>
    <mergeCell ref="H74:I74"/>
    <mergeCell ref="H75:I75"/>
    <mergeCell ref="F75:G75"/>
    <mergeCell ref="F61:G61"/>
    <mergeCell ref="B61:C61"/>
    <mergeCell ref="F69:G69"/>
    <mergeCell ref="F72:G72"/>
    <mergeCell ref="H72:I72"/>
    <mergeCell ref="B73:C73"/>
    <mergeCell ref="H73:I73"/>
    <mergeCell ref="H69:I69"/>
    <mergeCell ref="H64:I64"/>
    <mergeCell ref="F66:G66"/>
    <mergeCell ref="H48:I48"/>
    <mergeCell ref="H49:I49"/>
    <mergeCell ref="H50:I50"/>
    <mergeCell ref="H59:I59"/>
    <mergeCell ref="B70:C70"/>
    <mergeCell ref="F70:G70"/>
    <mergeCell ref="H70:I70"/>
    <mergeCell ref="B67:I67"/>
    <mergeCell ref="B69:E69"/>
    <mergeCell ref="H61:I61"/>
    <mergeCell ref="H58:I58"/>
    <mergeCell ref="B60:C60"/>
    <mergeCell ref="B59:C59"/>
    <mergeCell ref="B57:C57"/>
    <mergeCell ref="B58:C58"/>
    <mergeCell ref="H52:I52"/>
    <mergeCell ref="H53:I53"/>
    <mergeCell ref="H54:I54"/>
    <mergeCell ref="B55:C55"/>
    <mergeCell ref="B56:C56"/>
    <mergeCell ref="F49:G49"/>
    <mergeCell ref="H55:I55"/>
    <mergeCell ref="F55:G55"/>
    <mergeCell ref="F59:G59"/>
    <mergeCell ref="F60:G60"/>
    <mergeCell ref="H60:I60"/>
    <mergeCell ref="F56:G56"/>
    <mergeCell ref="F57:G57"/>
    <mergeCell ref="H56:I56"/>
    <mergeCell ref="H57:I57"/>
    <mergeCell ref="H51:I51"/>
    <mergeCell ref="H41:I41"/>
    <mergeCell ref="H42:I42"/>
    <mergeCell ref="H43:I43"/>
    <mergeCell ref="B47:C47"/>
    <mergeCell ref="B43:C43"/>
    <mergeCell ref="B48:C48"/>
    <mergeCell ref="B49:C49"/>
    <mergeCell ref="B46:E46"/>
    <mergeCell ref="F48:G48"/>
    <mergeCell ref="H40:I40"/>
    <mergeCell ref="F47:G47"/>
    <mergeCell ref="F40:G40"/>
    <mergeCell ref="F41:G41"/>
    <mergeCell ref="F42:G42"/>
    <mergeCell ref="F43:G43"/>
    <mergeCell ref="H46:I46"/>
    <mergeCell ref="H47:I47"/>
    <mergeCell ref="F58:G58"/>
    <mergeCell ref="F54:G54"/>
    <mergeCell ref="H35:I35"/>
    <mergeCell ref="H36:I36"/>
    <mergeCell ref="H37:I37"/>
    <mergeCell ref="H38:I38"/>
    <mergeCell ref="F53:G53"/>
    <mergeCell ref="H39:I39"/>
    <mergeCell ref="F39:G39"/>
    <mergeCell ref="F37:G37"/>
    <mergeCell ref="H31:I31"/>
    <mergeCell ref="H32:I32"/>
    <mergeCell ref="H33:I33"/>
    <mergeCell ref="H34:I34"/>
    <mergeCell ref="H27:I27"/>
    <mergeCell ref="H28:I28"/>
    <mergeCell ref="H29:I29"/>
    <mergeCell ref="H30:I30"/>
    <mergeCell ref="H23:I23"/>
    <mergeCell ref="H24:I24"/>
    <mergeCell ref="H25:I25"/>
    <mergeCell ref="H26:I26"/>
    <mergeCell ref="H19:I19"/>
    <mergeCell ref="H20:I20"/>
    <mergeCell ref="H21:I21"/>
    <mergeCell ref="H22:I22"/>
    <mergeCell ref="H15:I15"/>
    <mergeCell ref="H16:I16"/>
    <mergeCell ref="H17:I17"/>
    <mergeCell ref="H18:I18"/>
    <mergeCell ref="H11:I11"/>
    <mergeCell ref="H12:I12"/>
    <mergeCell ref="H13:I13"/>
    <mergeCell ref="H14:I14"/>
    <mergeCell ref="F32:G32"/>
    <mergeCell ref="F33:G33"/>
    <mergeCell ref="F34:G34"/>
    <mergeCell ref="F35:G35"/>
    <mergeCell ref="F36:G36"/>
    <mergeCell ref="F11:G11"/>
    <mergeCell ref="F12:G12"/>
    <mergeCell ref="F13:G13"/>
    <mergeCell ref="F14:G14"/>
    <mergeCell ref="F21:G21"/>
    <mergeCell ref="F38:G38"/>
    <mergeCell ref="F28:G28"/>
    <mergeCell ref="F29:G29"/>
    <mergeCell ref="F30:G30"/>
    <mergeCell ref="F16:G16"/>
    <mergeCell ref="F17:G17"/>
    <mergeCell ref="F18:G18"/>
    <mergeCell ref="F19:G19"/>
    <mergeCell ref="F24:G24"/>
    <mergeCell ref="F25:G25"/>
    <mergeCell ref="F22:G22"/>
    <mergeCell ref="F23:G23"/>
    <mergeCell ref="F26:G26"/>
    <mergeCell ref="F27:G27"/>
    <mergeCell ref="F15:G15"/>
    <mergeCell ref="A154:I154"/>
    <mergeCell ref="A146:A153"/>
    <mergeCell ref="F146:G146"/>
    <mergeCell ref="F147:G147"/>
    <mergeCell ref="F148:G148"/>
    <mergeCell ref="F149:G149"/>
    <mergeCell ref="F152:G152"/>
    <mergeCell ref="F153:G153"/>
    <mergeCell ref="F150:G150"/>
    <mergeCell ref="H152:I152"/>
    <mergeCell ref="B139:E139"/>
    <mergeCell ref="F139:G139"/>
    <mergeCell ref="H139:I139"/>
    <mergeCell ref="F151:G151"/>
    <mergeCell ref="C145:E145"/>
    <mergeCell ref="B94:C94"/>
    <mergeCell ref="B95:C95"/>
    <mergeCell ref="B115:C115"/>
    <mergeCell ref="B104:C104"/>
    <mergeCell ref="F79:G79"/>
    <mergeCell ref="B81:C81"/>
    <mergeCell ref="F84:G84"/>
    <mergeCell ref="B97:C97"/>
    <mergeCell ref="B85:C85"/>
    <mergeCell ref="B86:C86"/>
    <mergeCell ref="B76:C76"/>
    <mergeCell ref="B78:E78"/>
    <mergeCell ref="F78:G78"/>
    <mergeCell ref="B84:E84"/>
    <mergeCell ref="B123:C123"/>
    <mergeCell ref="B124:C124"/>
    <mergeCell ref="A83:I83"/>
    <mergeCell ref="F80:G80"/>
    <mergeCell ref="F81:G81"/>
    <mergeCell ref="B80:C80"/>
    <mergeCell ref="H84:I84"/>
    <mergeCell ref="H80:I80"/>
    <mergeCell ref="H81:I81"/>
    <mergeCell ref="B96:C96"/>
    <mergeCell ref="B52:C52"/>
    <mergeCell ref="F50:G50"/>
    <mergeCell ref="F51:G51"/>
    <mergeCell ref="F52:G52"/>
    <mergeCell ref="H78:I78"/>
    <mergeCell ref="B66:E66"/>
    <mergeCell ref="H66:I66"/>
    <mergeCell ref="F76:G76"/>
    <mergeCell ref="B54:C54"/>
    <mergeCell ref="H7:I7"/>
    <mergeCell ref="A8:I8"/>
    <mergeCell ref="A9:I9"/>
    <mergeCell ref="B10:E10"/>
    <mergeCell ref="F10:G10"/>
    <mergeCell ref="H10:I10"/>
    <mergeCell ref="A7:G7"/>
    <mergeCell ref="B135:E135"/>
    <mergeCell ref="F135:G135"/>
    <mergeCell ref="H135:I135"/>
    <mergeCell ref="H145:I145"/>
    <mergeCell ref="B137:E137"/>
    <mergeCell ref="F137:G137"/>
    <mergeCell ref="B140:C140"/>
    <mergeCell ref="B141:C141"/>
    <mergeCell ref="F141:G141"/>
    <mergeCell ref="F140:G140"/>
    <mergeCell ref="B64:E64"/>
    <mergeCell ref="F64:G64"/>
    <mergeCell ref="F46:G46"/>
    <mergeCell ref="B53:C53"/>
    <mergeCell ref="B39:C39"/>
    <mergeCell ref="B40:C40"/>
    <mergeCell ref="B41:C41"/>
    <mergeCell ref="B42:C42"/>
    <mergeCell ref="B50:C50"/>
    <mergeCell ref="B51:C51"/>
    <mergeCell ref="B20:C20"/>
    <mergeCell ref="B21:C21"/>
    <mergeCell ref="B14:C14"/>
    <mergeCell ref="B15:C15"/>
    <mergeCell ref="A143:I143"/>
    <mergeCell ref="A144:I144"/>
    <mergeCell ref="F31:G31"/>
    <mergeCell ref="F20:G20"/>
    <mergeCell ref="B34:C34"/>
    <mergeCell ref="B23:C23"/>
    <mergeCell ref="F145:G145"/>
    <mergeCell ref="B62:E62"/>
    <mergeCell ref="B36:C36"/>
    <mergeCell ref="B22:C22"/>
    <mergeCell ref="A1:G1"/>
    <mergeCell ref="A2:G2"/>
    <mergeCell ref="A3:G3"/>
    <mergeCell ref="A4:G4"/>
    <mergeCell ref="A6:G6"/>
    <mergeCell ref="A5:G5"/>
    <mergeCell ref="H150:I150"/>
    <mergeCell ref="H151:I151"/>
    <mergeCell ref="B11:C11"/>
    <mergeCell ref="B12:C12"/>
    <mergeCell ref="B13:C13"/>
    <mergeCell ref="B72:E72"/>
    <mergeCell ref="B18:C18"/>
    <mergeCell ref="B19:C19"/>
    <mergeCell ref="B16:C16"/>
    <mergeCell ref="B17:C17"/>
    <mergeCell ref="B24:C24"/>
    <mergeCell ref="B25:C25"/>
    <mergeCell ref="B26:C26"/>
    <mergeCell ref="H153:I153"/>
    <mergeCell ref="H146:I146"/>
    <mergeCell ref="H147:I147"/>
    <mergeCell ref="H148:I148"/>
    <mergeCell ref="H149:I149"/>
    <mergeCell ref="B35:C35"/>
    <mergeCell ref="B27:C27"/>
    <mergeCell ref="B37:C37"/>
    <mergeCell ref="B38:C38"/>
    <mergeCell ref="B28:C28"/>
    <mergeCell ref="B29:C29"/>
    <mergeCell ref="B30:C30"/>
    <mergeCell ref="B31:C31"/>
    <mergeCell ref="B32:C32"/>
    <mergeCell ref="B33:C33"/>
  </mergeCells>
  <printOptions/>
  <pageMargins left="0.787401575" right="0.787401575" top="0.984251969" bottom="0.984251969" header="0.492125985" footer="0.49212598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Plan17">
    <tabColor rgb="FFFFFF00"/>
    <pageSetUpPr fitToPage="1"/>
  </sheetPr>
  <dimension ref="A1:G26"/>
  <sheetViews>
    <sheetView tabSelected="1" zoomScale="90" zoomScaleNormal="90" zoomScalePageLayoutView="0" workbookViewId="0" topLeftCell="A1">
      <selection activeCell="A5" sqref="A5:F5"/>
    </sheetView>
  </sheetViews>
  <sheetFormatPr defaultColWidth="9.140625" defaultRowHeight="12.75"/>
  <cols>
    <col min="1" max="1" width="28.57421875" style="0" customWidth="1"/>
    <col min="2" max="2" width="14.00390625" style="0" customWidth="1"/>
    <col min="3" max="3" width="30.00390625" style="0" customWidth="1"/>
    <col min="4" max="4" width="14.7109375" style="0" customWidth="1"/>
    <col min="5" max="6" width="13.28125" style="0" customWidth="1"/>
    <col min="7" max="7" width="16.140625" style="0" customWidth="1"/>
  </cols>
  <sheetData>
    <row r="1" spans="1:7" ht="12.75">
      <c r="A1" s="700" t="str">
        <f>Parâmetros!A7</f>
        <v>Município de : Tavares</v>
      </c>
      <c r="B1" s="685"/>
      <c r="C1" s="685"/>
      <c r="D1" s="685"/>
      <c r="E1" s="685"/>
      <c r="F1" s="686"/>
      <c r="G1" s="110"/>
    </row>
    <row r="2" spans="1:7" ht="12.75">
      <c r="A2" s="682" t="s">
        <v>707</v>
      </c>
      <c r="B2" s="683"/>
      <c r="C2" s="683"/>
      <c r="D2" s="683"/>
      <c r="E2" s="683"/>
      <c r="F2" s="684"/>
      <c r="G2" s="11"/>
    </row>
    <row r="3" spans="1:7" ht="12.75">
      <c r="A3" s="682" t="str">
        <f>'Metas Cons'!A3:M3</f>
        <v>ANEXO DE METAS FISCAIS</v>
      </c>
      <c r="B3" s="685"/>
      <c r="C3" s="685"/>
      <c r="D3" s="685"/>
      <c r="E3" s="685"/>
      <c r="F3" s="686"/>
      <c r="G3" s="110"/>
    </row>
    <row r="4" spans="1:7" ht="12.75">
      <c r="A4" s="701" t="s">
        <v>494</v>
      </c>
      <c r="B4" s="702"/>
      <c r="C4" s="702"/>
      <c r="D4" s="702"/>
      <c r="E4" s="702"/>
      <c r="F4" s="703"/>
      <c r="G4" s="110"/>
    </row>
    <row r="5" spans="1:7" ht="12.75">
      <c r="A5" s="682" t="s">
        <v>686</v>
      </c>
      <c r="B5" s="683"/>
      <c r="C5" s="683"/>
      <c r="D5" s="683"/>
      <c r="E5" s="683"/>
      <c r="F5" s="684"/>
      <c r="G5" s="11"/>
    </row>
    <row r="6" spans="1:7" ht="12.75">
      <c r="A6" s="682"/>
      <c r="B6" s="685"/>
      <c r="C6" s="685"/>
      <c r="D6" s="685"/>
      <c r="E6" s="685"/>
      <c r="F6" s="686"/>
      <c r="G6" s="110"/>
    </row>
    <row r="7" spans="1:7" s="42" customFormat="1" ht="11.25" customHeight="1">
      <c r="A7" s="311" t="s">
        <v>497</v>
      </c>
      <c r="B7" s="303"/>
      <c r="C7" s="303"/>
      <c r="D7" s="303"/>
      <c r="E7" s="303"/>
      <c r="F7" s="304"/>
      <c r="G7" s="305">
        <v>1</v>
      </c>
    </row>
    <row r="8" spans="1:7" s="43" customFormat="1" ht="11.25" customHeight="1">
      <c r="A8" s="687" t="s">
        <v>154</v>
      </c>
      <c r="B8" s="690" t="s">
        <v>155</v>
      </c>
      <c r="C8" s="693" t="s">
        <v>156</v>
      </c>
      <c r="D8" s="690" t="s">
        <v>103</v>
      </c>
      <c r="E8" s="696"/>
      <c r="F8" s="687"/>
      <c r="G8" s="693" t="s">
        <v>104</v>
      </c>
    </row>
    <row r="9" spans="1:7" s="43" customFormat="1" ht="11.25" customHeight="1">
      <c r="A9" s="688"/>
      <c r="B9" s="691"/>
      <c r="C9" s="694"/>
      <c r="D9" s="692"/>
      <c r="E9" s="697"/>
      <c r="F9" s="689"/>
      <c r="G9" s="694"/>
    </row>
    <row r="10" spans="1:7" s="42" customFormat="1" ht="24" customHeight="1">
      <c r="A10" s="689"/>
      <c r="B10" s="692"/>
      <c r="C10" s="695"/>
      <c r="D10" s="306">
        <v>2022</v>
      </c>
      <c r="E10" s="306">
        <f>D10+1</f>
        <v>2023</v>
      </c>
      <c r="F10" s="306">
        <f>E10+1</f>
        <v>2024</v>
      </c>
      <c r="G10" s="695"/>
    </row>
    <row r="11" spans="1:7" s="42" customFormat="1" ht="26.25" customHeight="1">
      <c r="A11" s="476" t="s">
        <v>660</v>
      </c>
      <c r="B11" s="476" t="s">
        <v>661</v>
      </c>
      <c r="C11" s="476" t="s">
        <v>668</v>
      </c>
      <c r="D11" s="307">
        <f>8328.11*105%</f>
        <v>8744.515500000001</v>
      </c>
      <c r="E11" s="308">
        <f>D11*(1+B24)</f>
        <v>9044.45238165</v>
      </c>
      <c r="F11" s="308">
        <f>E11*(1+B25)</f>
        <v>9344.72820072078</v>
      </c>
      <c r="G11" s="698" t="s">
        <v>158</v>
      </c>
    </row>
    <row r="12" spans="1:7" s="42" customFormat="1" ht="16.5" customHeight="1">
      <c r="A12" s="476" t="s">
        <v>660</v>
      </c>
      <c r="B12" s="476" t="s">
        <v>667</v>
      </c>
      <c r="C12" s="476" t="s">
        <v>669</v>
      </c>
      <c r="D12" s="307">
        <f>16193.37*105%</f>
        <v>17003.038500000002</v>
      </c>
      <c r="E12" s="308">
        <f>D12*(1+B24)</f>
        <v>17586.242720550003</v>
      </c>
      <c r="F12" s="308">
        <f>E12*(1+B25)</f>
        <v>18170.10597887226</v>
      </c>
      <c r="G12" s="699"/>
    </row>
    <row r="13" spans="1:7" s="42" customFormat="1" ht="16.5" customHeight="1">
      <c r="A13" s="476" t="s">
        <v>662</v>
      </c>
      <c r="B13" s="476" t="s">
        <v>667</v>
      </c>
      <c r="C13" s="476" t="s">
        <v>670</v>
      </c>
      <c r="D13" s="477">
        <f>329207.65*105%</f>
        <v>345668.03250000003</v>
      </c>
      <c r="E13" s="308">
        <f>D13*(1+B24)</f>
        <v>357524.44601475005</v>
      </c>
      <c r="F13" s="308">
        <f>E13*(1+B25)</f>
        <v>369394.2576224397</v>
      </c>
      <c r="G13" s="309" t="s">
        <v>159</v>
      </c>
    </row>
    <row r="14" spans="1:7" s="42" customFormat="1" ht="11.25" customHeight="1">
      <c r="A14" s="476" t="s">
        <v>665</v>
      </c>
      <c r="B14" s="476" t="s">
        <v>667</v>
      </c>
      <c r="C14" s="476" t="s">
        <v>670</v>
      </c>
      <c r="D14" s="307">
        <f>3791.8*105%</f>
        <v>3981.3900000000003</v>
      </c>
      <c r="E14" s="308">
        <f>D14*(1+B24)</f>
        <v>4117.951677</v>
      </c>
      <c r="F14" s="308">
        <f>E14*(1+B25)</f>
        <v>4254.6676726764</v>
      </c>
      <c r="G14" s="309"/>
    </row>
    <row r="15" spans="1:7" s="42" customFormat="1" ht="11.25" customHeight="1">
      <c r="A15" s="476" t="s">
        <v>663</v>
      </c>
      <c r="B15" s="476" t="s">
        <v>667</v>
      </c>
      <c r="C15" s="476" t="s">
        <v>670</v>
      </c>
      <c r="D15" s="307">
        <f>75666.88*105%</f>
        <v>79450.224</v>
      </c>
      <c r="E15" s="308">
        <f>D15*(1+B24)</f>
        <v>82175.3666832</v>
      </c>
      <c r="F15" s="308">
        <f>E15*(1+B25)</f>
        <v>84903.58885708223</v>
      </c>
      <c r="G15" s="309"/>
    </row>
    <row r="16" spans="1:7" s="42" customFormat="1" ht="11.25" customHeight="1">
      <c r="A16" s="476" t="s">
        <v>664</v>
      </c>
      <c r="B16" s="476" t="s">
        <v>667</v>
      </c>
      <c r="C16" s="476" t="s">
        <v>670</v>
      </c>
      <c r="D16" s="307">
        <f>166220.88*105%</f>
        <v>174531.924</v>
      </c>
      <c r="E16" s="308">
        <f>D16*(1+B24)</f>
        <v>180518.3689932</v>
      </c>
      <c r="F16" s="308">
        <f>E16*(1+B25)</f>
        <v>186511.57884377424</v>
      </c>
      <c r="G16" s="309"/>
    </row>
    <row r="17" spans="1:7" s="42" customFormat="1" ht="11.25" customHeight="1">
      <c r="A17" s="476" t="s">
        <v>666</v>
      </c>
      <c r="B17" s="476" t="s">
        <v>667</v>
      </c>
      <c r="C17" s="476" t="s">
        <v>670</v>
      </c>
      <c r="D17" s="307">
        <f>872880.59*105%</f>
        <v>916524.6195</v>
      </c>
      <c r="E17" s="308">
        <f>D17*(1+B24)</f>
        <v>947961.41394885</v>
      </c>
      <c r="F17" s="308">
        <f>E17*(1+B25)</f>
        <v>979433.7328919517</v>
      </c>
      <c r="G17" s="309"/>
    </row>
    <row r="18" spans="1:7" s="42" customFormat="1" ht="11.25" customHeight="1">
      <c r="A18" s="679" t="s">
        <v>89</v>
      </c>
      <c r="B18" s="680"/>
      <c r="C18" s="681"/>
      <c r="D18" s="478">
        <f>SUM(D11:D17)</f>
        <v>1545903.744</v>
      </c>
      <c r="E18" s="478">
        <f>SUM(E11:E17)</f>
        <v>1598928.2424192</v>
      </c>
      <c r="F18" s="478">
        <f>SUM(F11:F17)</f>
        <v>1652012.6600675173</v>
      </c>
      <c r="G18" s="310" t="s">
        <v>157</v>
      </c>
    </row>
    <row r="19" spans="1:7" s="42" customFormat="1" ht="11.25" customHeight="1">
      <c r="A19" s="84"/>
      <c r="B19" s="46"/>
      <c r="C19" s="46"/>
      <c r="D19" s="46"/>
      <c r="E19" s="46"/>
      <c r="F19" s="46"/>
      <c r="G19" s="46"/>
    </row>
    <row r="20" spans="1:6" ht="12.75">
      <c r="A20" s="11" t="s">
        <v>649</v>
      </c>
      <c r="B20" s="45"/>
      <c r="C20" s="45"/>
      <c r="D20" s="45"/>
      <c r="E20" s="45"/>
      <c r="F20" s="45"/>
    </row>
    <row r="21" ht="12.75">
      <c r="A21" t="s">
        <v>141</v>
      </c>
    </row>
    <row r="22" ht="12.75">
      <c r="A22" s="11" t="s">
        <v>650</v>
      </c>
    </row>
    <row r="23" ht="12.75">
      <c r="A23" t="s">
        <v>144</v>
      </c>
    </row>
    <row r="24" spans="1:2" ht="12.75">
      <c r="A24" s="11" t="s">
        <v>630</v>
      </c>
      <c r="B24" s="39">
        <f>Parâmetros!F11</f>
        <v>0.0343</v>
      </c>
    </row>
    <row r="25" spans="1:2" ht="12.75">
      <c r="A25" s="11" t="s">
        <v>651</v>
      </c>
      <c r="B25" s="39">
        <f>Parâmetros!G11</f>
        <v>0.0332</v>
      </c>
    </row>
    <row r="26" ht="12.75">
      <c r="B26" s="39"/>
    </row>
  </sheetData>
  <sheetProtection/>
  <mergeCells count="13">
    <mergeCell ref="G8:G10"/>
    <mergeCell ref="G11:G12"/>
    <mergeCell ref="A1:F1"/>
    <mergeCell ref="A2:F2"/>
    <mergeCell ref="A3:F3"/>
    <mergeCell ref="A4:F4"/>
    <mergeCell ref="A18:C18"/>
    <mergeCell ref="A5:F5"/>
    <mergeCell ref="A6:F6"/>
    <mergeCell ref="A8:A10"/>
    <mergeCell ref="B8:B10"/>
    <mergeCell ref="C8:C10"/>
    <mergeCell ref="D8:F9"/>
  </mergeCells>
  <printOptions/>
  <pageMargins left="0.7874015748031497" right="0.7874015748031497" top="0.984251968503937" bottom="0.984251968503937" header="0.5118110236220472" footer="0.5118110236220472"/>
  <pageSetup fitToHeight="1" fitToWidth="1" horizontalDpi="600" verticalDpi="600" orientation="landscape" scale="56" r:id="rId2"/>
  <drawing r:id="rId1"/>
</worksheet>
</file>

<file path=xl/worksheets/sheet15.xml><?xml version="1.0" encoding="utf-8"?>
<worksheet xmlns="http://schemas.openxmlformats.org/spreadsheetml/2006/main" xmlns:r="http://schemas.openxmlformats.org/officeDocument/2006/relationships">
  <sheetPr codeName="Plan18">
    <tabColor rgb="FFFF0000"/>
  </sheetPr>
  <dimension ref="A1:B31"/>
  <sheetViews>
    <sheetView zoomScale="90" zoomScaleNormal="90" zoomScalePageLayoutView="0" workbookViewId="0" topLeftCell="A1">
      <selection activeCell="H19" sqref="H19"/>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633" t="str">
        <f>Parâmetros!A7</f>
        <v>Município de : Tavares</v>
      </c>
      <c r="B1" s="632"/>
    </row>
    <row r="2" spans="1:2" ht="14.25">
      <c r="A2" s="630" t="s">
        <v>36</v>
      </c>
      <c r="B2" s="632"/>
    </row>
    <row r="3" spans="1:2" ht="14.25">
      <c r="A3" s="630" t="str">
        <f>'Metas Cons'!A3:M3</f>
        <v>ANEXO DE METAS FISCAIS</v>
      </c>
      <c r="B3" s="632"/>
    </row>
    <row r="4" spans="1:2" ht="15">
      <c r="A4" s="634" t="s">
        <v>495</v>
      </c>
      <c r="B4" s="636"/>
    </row>
    <row r="5" spans="1:2" ht="14.25">
      <c r="A5" s="630" t="s">
        <v>686</v>
      </c>
      <c r="B5" s="632"/>
    </row>
    <row r="6" spans="1:2" ht="14.25">
      <c r="A6" s="630"/>
      <c r="B6" s="632"/>
    </row>
    <row r="7" spans="1:2" ht="15">
      <c r="A7" s="312" t="s">
        <v>496</v>
      </c>
      <c r="B7" s="313">
        <v>1</v>
      </c>
    </row>
    <row r="8" spans="1:2" s="12" customFormat="1" ht="25.5" customHeight="1">
      <c r="A8" s="285" t="s">
        <v>105</v>
      </c>
      <c r="B8" s="296" t="s">
        <v>652</v>
      </c>
    </row>
    <row r="9" spans="1:2" ht="15">
      <c r="A9" s="314" t="s">
        <v>106</v>
      </c>
      <c r="B9" s="315">
        <f>(B10+B11)</f>
        <v>1064020.1229225341</v>
      </c>
    </row>
    <row r="10" spans="1:2" ht="14.25">
      <c r="A10" s="293" t="s">
        <v>137</v>
      </c>
      <c r="B10" s="295">
        <f>(Projeções!G9/(1+Parâmetros!E11))-(Projeções!F9*(1+Parâmetros!D11))</f>
        <v>1687383.6168454979</v>
      </c>
    </row>
    <row r="11" spans="1:2" ht="14.25">
      <c r="A11" s="293" t="s">
        <v>138</v>
      </c>
      <c r="B11" s="295">
        <f>(Projeções!G39/(1+Parâmetros!E11))-(Projeções!F39*(1+Parâmetros!D11))</f>
        <v>-623363.4939229637</v>
      </c>
    </row>
    <row r="12" spans="1:2" ht="14.25">
      <c r="A12" s="293" t="s">
        <v>182</v>
      </c>
      <c r="B12" s="295">
        <v>0</v>
      </c>
    </row>
    <row r="13" spans="1:2" ht="14.25">
      <c r="A13" s="294" t="s">
        <v>146</v>
      </c>
      <c r="B13" s="295">
        <f>(Projeções!G105/(1+Parâmetros!E11)-(Projeções!F105*(1+Parâmetros!D11)))</f>
        <v>171245.99420589022</v>
      </c>
    </row>
    <row r="14" spans="1:2" ht="15">
      <c r="A14" s="316" t="s">
        <v>107</v>
      </c>
      <c r="B14" s="317">
        <f>B9+B13</f>
        <v>1235266.1171284243</v>
      </c>
    </row>
    <row r="15" spans="1:2" ht="14.25">
      <c r="A15" s="294" t="s">
        <v>108</v>
      </c>
      <c r="B15" s="318">
        <v>0</v>
      </c>
    </row>
    <row r="16" spans="1:2" ht="15">
      <c r="A16" s="294" t="s">
        <v>109</v>
      </c>
      <c r="B16" s="317">
        <f>B14+B15</f>
        <v>1235266.1171284243</v>
      </c>
    </row>
    <row r="17" spans="1:2" ht="14.25">
      <c r="A17" s="293" t="s">
        <v>110</v>
      </c>
      <c r="B17" s="295"/>
    </row>
    <row r="18" spans="1:2" ht="15">
      <c r="A18" s="316" t="s">
        <v>179</v>
      </c>
      <c r="B18" s="317">
        <f>B19+B20</f>
        <v>1775016.3194947466</v>
      </c>
    </row>
    <row r="19" spans="1:2" ht="14.25">
      <c r="A19" s="294" t="s">
        <v>139</v>
      </c>
      <c r="B19" s="295">
        <f>Projeções!G118/(1+Parâmetros!E11)-(Projeções!F118*(1+Parâmetros!D11))</f>
        <v>851465.1110231169</v>
      </c>
    </row>
    <row r="20" spans="1:2" ht="14.25">
      <c r="A20" s="294" t="s">
        <v>140</v>
      </c>
      <c r="B20" s="295">
        <f>Projeções!G128/(1+Parâmetros!E11)-Projeções!F128*(1+Parâmetros!D11)</f>
        <v>923551.2084716298</v>
      </c>
    </row>
    <row r="21" spans="1:2" ht="15">
      <c r="A21" s="316" t="s">
        <v>180</v>
      </c>
      <c r="B21" s="319">
        <v>0</v>
      </c>
    </row>
    <row r="22" spans="1:2" ht="21" customHeight="1">
      <c r="A22" s="316" t="s">
        <v>181</v>
      </c>
      <c r="B22" s="320" t="str">
        <f>IF(B16-B17-B18&lt;0,"SEM MARGEM",B16-B17-B18)</f>
        <v>SEM MARGEM</v>
      </c>
    </row>
    <row r="23" spans="1:2" ht="15">
      <c r="A23" s="704"/>
      <c r="B23" s="705"/>
    </row>
    <row r="24" ht="12.75">
      <c r="A24" s="7"/>
    </row>
    <row r="25" spans="1:2" ht="12.75">
      <c r="A25" s="58"/>
      <c r="B25" s="58"/>
    </row>
    <row r="26" ht="12.75">
      <c r="A26" s="58"/>
    </row>
    <row r="27" ht="12.75">
      <c r="A27" s="58"/>
    </row>
    <row r="28" ht="12.75">
      <c r="A28" s="58"/>
    </row>
    <row r="29" ht="12.75">
      <c r="A29" s="58"/>
    </row>
    <row r="30" ht="12.75">
      <c r="A30" s="58"/>
    </row>
    <row r="31" ht="12.75">
      <c r="A31" s="58"/>
    </row>
  </sheetData>
  <sheetProtection/>
  <mergeCells count="7">
    <mergeCell ref="A1:B1"/>
    <mergeCell ref="A2:B2"/>
    <mergeCell ref="A23:B23"/>
    <mergeCell ref="A3:B3"/>
    <mergeCell ref="A4:B4"/>
    <mergeCell ref="A5:B5"/>
    <mergeCell ref="A6:B6"/>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B29"/>
  <sheetViews>
    <sheetView zoomScale="90" zoomScaleNormal="90" zoomScalePageLayoutView="0" workbookViewId="0" topLeftCell="A4">
      <selection activeCell="G10" sqref="G10"/>
    </sheetView>
  </sheetViews>
  <sheetFormatPr defaultColWidth="9.140625" defaultRowHeight="12.75"/>
  <cols>
    <col min="1" max="1" width="49.140625" style="59" customWidth="1"/>
    <col min="2" max="2" width="44.7109375" style="59" customWidth="1"/>
    <col min="3" max="16384" width="9.140625" style="59" customWidth="1"/>
  </cols>
  <sheetData>
    <row r="1" spans="1:2" ht="14.25">
      <c r="A1" s="583" t="str">
        <f>Parâmetros!A7</f>
        <v>Município de : Tavares</v>
      </c>
      <c r="B1" s="582"/>
    </row>
    <row r="2" spans="1:2" ht="14.25">
      <c r="A2" s="580" t="s">
        <v>706</v>
      </c>
      <c r="B2" s="582"/>
    </row>
    <row r="3" spans="1:2" ht="14.25">
      <c r="A3" s="580" t="str">
        <f>'Metas Cons'!A3:M3</f>
        <v>ANEXO DE METAS FISCAIS</v>
      </c>
      <c r="B3" s="582"/>
    </row>
    <row r="4" spans="1:2" ht="15">
      <c r="A4" s="584" t="s">
        <v>495</v>
      </c>
      <c r="B4" s="586"/>
    </row>
    <row r="5" spans="1:2" ht="14.25">
      <c r="A5" s="580" t="s">
        <v>686</v>
      </c>
      <c r="B5" s="582"/>
    </row>
    <row r="6" spans="1:2" ht="14.25">
      <c r="A6" s="580"/>
      <c r="B6" s="582"/>
    </row>
    <row r="7" spans="1:2" ht="28.5">
      <c r="A7" s="180" t="s">
        <v>496</v>
      </c>
      <c r="B7" s="184">
        <v>1</v>
      </c>
    </row>
    <row r="8" spans="1:2" s="60" customFormat="1" ht="25.5" customHeight="1">
      <c r="A8" s="185" t="s">
        <v>105</v>
      </c>
      <c r="B8" s="321" t="s">
        <v>701</v>
      </c>
    </row>
    <row r="9" spans="1:2" ht="15">
      <c r="A9" s="322" t="s">
        <v>106</v>
      </c>
      <c r="B9" s="323"/>
    </row>
    <row r="10" spans="1:2" ht="14.25">
      <c r="A10" s="324" t="s">
        <v>137</v>
      </c>
      <c r="B10" s="325">
        <f>102235.21+100000</f>
        <v>202235.21000000002</v>
      </c>
    </row>
    <row r="11" spans="1:2" ht="14.25">
      <c r="A11" s="324" t="s">
        <v>138</v>
      </c>
      <c r="B11" s="325">
        <f>897357.38+800000</f>
        <v>1697357.38</v>
      </c>
    </row>
    <row r="12" spans="1:2" ht="14.25">
      <c r="A12" s="326" t="s">
        <v>146</v>
      </c>
      <c r="B12" s="325">
        <f>295867.39</f>
        <v>295867.39</v>
      </c>
    </row>
    <row r="13" spans="1:2" ht="30">
      <c r="A13" s="327" t="s">
        <v>107</v>
      </c>
      <c r="B13" s="328">
        <f>B10+B11-B12</f>
        <v>1603725.1999999997</v>
      </c>
    </row>
    <row r="14" spans="1:2" ht="14.25">
      <c r="A14" s="326" t="s">
        <v>108</v>
      </c>
      <c r="B14" s="329"/>
    </row>
    <row r="15" spans="1:2" ht="15">
      <c r="A15" s="326" t="s">
        <v>109</v>
      </c>
      <c r="B15" s="328">
        <f>B13</f>
        <v>1603725.1999999997</v>
      </c>
    </row>
    <row r="16" spans="1:2" ht="14.25">
      <c r="A16" s="324" t="s">
        <v>110</v>
      </c>
      <c r="B16" s="325"/>
    </row>
    <row r="17" spans="1:2" ht="15">
      <c r="A17" s="327" t="s">
        <v>111</v>
      </c>
      <c r="B17" s="328">
        <f>B18+B19</f>
        <v>425444.45999999996</v>
      </c>
    </row>
    <row r="18" spans="1:2" ht="14.25">
      <c r="A18" s="326" t="s">
        <v>139</v>
      </c>
      <c r="B18" s="325">
        <f>155935.59+100000</f>
        <v>255935.59</v>
      </c>
    </row>
    <row r="19" spans="1:2" ht="14.25">
      <c r="A19" s="326" t="s">
        <v>140</v>
      </c>
      <c r="B19" s="325">
        <v>169508.87</v>
      </c>
    </row>
    <row r="20" spans="1:2" ht="15">
      <c r="A20" s="327" t="s">
        <v>112</v>
      </c>
      <c r="B20" s="330">
        <f>IF(B15-B16-B17&lt;0,"SEM MARGEM",B15-B16-B17)</f>
        <v>1178280.7399999998</v>
      </c>
    </row>
    <row r="21" spans="1:2" ht="11.25">
      <c r="A21" s="706" t="s">
        <v>123</v>
      </c>
      <c r="B21" s="707"/>
    </row>
    <row r="22" ht="11.25">
      <c r="A22" s="61"/>
    </row>
    <row r="23" spans="1:2" ht="11.25">
      <c r="A23" s="62"/>
      <c r="B23" s="62"/>
    </row>
    <row r="24" ht="11.25">
      <c r="A24" s="62"/>
    </row>
    <row r="25" ht="11.25">
      <c r="A25" s="62"/>
    </row>
    <row r="26" ht="11.25">
      <c r="A26" s="62"/>
    </row>
    <row r="27" ht="11.25">
      <c r="A27" s="62"/>
    </row>
    <row r="28" ht="11.25">
      <c r="A28" s="62"/>
    </row>
    <row r="29" ht="11.25">
      <c r="A29" s="62"/>
    </row>
  </sheetData>
  <sheetProtection/>
  <mergeCells count="7">
    <mergeCell ref="A5:B5"/>
    <mergeCell ref="A6:B6"/>
    <mergeCell ref="A21:B21"/>
    <mergeCell ref="A1:B1"/>
    <mergeCell ref="A2:B2"/>
    <mergeCell ref="A3:B3"/>
    <mergeCell ref="A4:B4"/>
  </mergeCells>
  <printOptions/>
  <pageMargins left="0.7874015748031497" right="0.7874015748031497" top="0.984251968503937" bottom="0.984251968503937" header="0.5118110236220472" footer="0.5118110236220472"/>
  <pageSetup horizontalDpi="600" verticalDpi="600" orientation="landscape" r:id="rId2"/>
  <drawing r:id="rId1"/>
</worksheet>
</file>

<file path=xl/worksheets/sheet17.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F18" sqref="F18"/>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717" t="str">
        <f>Parâmetros!A7</f>
        <v>Município de : Tavares</v>
      </c>
      <c r="B1" s="715"/>
      <c r="C1" s="715"/>
      <c r="D1" s="715"/>
    </row>
    <row r="2" spans="1:4" ht="14.25">
      <c r="A2" s="715" t="s">
        <v>36</v>
      </c>
      <c r="B2" s="715"/>
      <c r="C2" s="715"/>
      <c r="D2" s="715"/>
    </row>
    <row r="3" spans="1:4" ht="14.25">
      <c r="A3" s="715" t="s">
        <v>161</v>
      </c>
      <c r="B3" s="715"/>
      <c r="C3" s="715"/>
      <c r="D3" s="715"/>
    </row>
    <row r="4" spans="1:4" ht="15">
      <c r="A4" s="718" t="s">
        <v>113</v>
      </c>
      <c r="B4" s="718"/>
      <c r="C4" s="718"/>
      <c r="D4" s="718"/>
    </row>
    <row r="5" spans="1:4" ht="14.25">
      <c r="A5" s="715" t="s">
        <v>686</v>
      </c>
      <c r="B5" s="715"/>
      <c r="C5" s="715"/>
      <c r="D5" s="715"/>
    </row>
    <row r="6" spans="1:4" ht="14.25">
      <c r="A6" s="716"/>
      <c r="B6" s="716"/>
      <c r="C6" s="716"/>
      <c r="D6" s="716"/>
    </row>
    <row r="7" spans="1:4" ht="14.25">
      <c r="A7" s="708" t="s">
        <v>501</v>
      </c>
      <c r="B7" s="708"/>
      <c r="C7" s="709">
        <v>1</v>
      </c>
      <c r="D7" s="709"/>
    </row>
    <row r="8" spans="1:4" ht="15">
      <c r="A8" s="711" t="s">
        <v>162</v>
      </c>
      <c r="B8" s="711"/>
      <c r="C8" s="711" t="s">
        <v>114</v>
      </c>
      <c r="D8" s="711"/>
    </row>
    <row r="9" spans="1:4" ht="15">
      <c r="A9" s="331" t="s">
        <v>115</v>
      </c>
      <c r="B9" s="331" t="s">
        <v>57</v>
      </c>
      <c r="C9" s="331" t="s">
        <v>115</v>
      </c>
      <c r="D9" s="331" t="s">
        <v>57</v>
      </c>
    </row>
    <row r="10" spans="1:4" ht="14.25">
      <c r="A10" s="332" t="s">
        <v>163</v>
      </c>
      <c r="B10" s="333">
        <v>160000</v>
      </c>
      <c r="C10" s="334" t="s">
        <v>671</v>
      </c>
      <c r="D10" s="333">
        <f>B10</f>
        <v>160000</v>
      </c>
    </row>
    <row r="11" spans="1:4" ht="28.5">
      <c r="A11" s="332" t="s">
        <v>164</v>
      </c>
      <c r="B11" s="333"/>
      <c r="C11" s="334"/>
      <c r="D11" s="333"/>
    </row>
    <row r="12" spans="1:4" ht="14.25">
      <c r="A12" s="332" t="s">
        <v>165</v>
      </c>
      <c r="B12" s="333"/>
      <c r="C12" s="334"/>
      <c r="D12" s="333"/>
    </row>
    <row r="13" spans="1:4" ht="14.25">
      <c r="A13" s="332" t="s">
        <v>166</v>
      </c>
      <c r="B13" s="333"/>
      <c r="C13" s="334"/>
      <c r="D13" s="333"/>
    </row>
    <row r="14" spans="1:4" ht="14.25">
      <c r="A14" s="332" t="s">
        <v>167</v>
      </c>
      <c r="B14" s="333">
        <v>79000</v>
      </c>
      <c r="C14" s="334" t="s">
        <v>671</v>
      </c>
      <c r="D14" s="333">
        <f>B14</f>
        <v>79000</v>
      </c>
    </row>
    <row r="15" spans="1:4" ht="14.25">
      <c r="A15" s="332" t="s">
        <v>168</v>
      </c>
      <c r="B15" s="333">
        <v>105000</v>
      </c>
      <c r="C15" s="334" t="s">
        <v>671</v>
      </c>
      <c r="D15" s="333">
        <f>B15</f>
        <v>105000</v>
      </c>
    </row>
    <row r="16" spans="1:4" ht="15">
      <c r="A16" s="335" t="s">
        <v>169</v>
      </c>
      <c r="B16" s="336">
        <f>SUM(B10:B15)</f>
        <v>344000</v>
      </c>
      <c r="C16" s="337" t="s">
        <v>169</v>
      </c>
      <c r="D16" s="338">
        <f>SUM(D10:D15)</f>
        <v>344000</v>
      </c>
    </row>
    <row r="17" spans="1:4" ht="14.25">
      <c r="A17" s="712"/>
      <c r="B17" s="712"/>
      <c r="C17" s="713"/>
      <c r="D17" s="714"/>
    </row>
    <row r="18" spans="1:4" ht="15">
      <c r="A18" s="710" t="s">
        <v>170</v>
      </c>
      <c r="B18" s="710"/>
      <c r="C18" s="711" t="s">
        <v>114</v>
      </c>
      <c r="D18" s="711"/>
    </row>
    <row r="19" spans="1:4" ht="15">
      <c r="A19" s="331" t="s">
        <v>115</v>
      </c>
      <c r="B19" s="331" t="s">
        <v>57</v>
      </c>
      <c r="C19" s="331" t="s">
        <v>115</v>
      </c>
      <c r="D19" s="331" t="s">
        <v>57</v>
      </c>
    </row>
    <row r="20" spans="1:4" ht="14.25">
      <c r="A20" s="332" t="s">
        <v>171</v>
      </c>
      <c r="B20" s="333">
        <v>420000</v>
      </c>
      <c r="C20" s="334" t="s">
        <v>672</v>
      </c>
      <c r="D20" s="333">
        <f>B20</f>
        <v>420000</v>
      </c>
    </row>
    <row r="21" spans="1:4" ht="14.25">
      <c r="A21" s="332" t="s">
        <v>172</v>
      </c>
      <c r="B21" s="333"/>
      <c r="C21" s="334"/>
      <c r="D21" s="333"/>
    </row>
    <row r="22" spans="1:4" ht="14.25">
      <c r="A22" s="332" t="s">
        <v>173</v>
      </c>
      <c r="B22" s="333"/>
      <c r="C22" s="334"/>
      <c r="D22" s="333"/>
    </row>
    <row r="23" spans="1:4" ht="14.25">
      <c r="A23" s="332" t="s">
        <v>174</v>
      </c>
      <c r="B23" s="333"/>
      <c r="C23" s="334"/>
      <c r="D23" s="333"/>
    </row>
    <row r="24" spans="1:4" ht="14.25">
      <c r="A24" s="332" t="s">
        <v>169</v>
      </c>
      <c r="B24" s="339">
        <f>SUM(B20:B23)</f>
        <v>420000</v>
      </c>
      <c r="C24" s="332" t="s">
        <v>169</v>
      </c>
      <c r="D24" s="339">
        <f>SUM(D20:D23)</f>
        <v>420000</v>
      </c>
    </row>
    <row r="25" spans="1:4" ht="15">
      <c r="A25" s="337" t="s">
        <v>89</v>
      </c>
      <c r="B25" s="338">
        <f>B16+B24</f>
        <v>764000</v>
      </c>
      <c r="C25" s="337" t="s">
        <v>89</v>
      </c>
      <c r="D25" s="338">
        <f>D16+D24</f>
        <v>764000</v>
      </c>
    </row>
  </sheetData>
  <sheetProtection/>
  <mergeCells count="14">
    <mergeCell ref="A5:D5"/>
    <mergeCell ref="A6:D6"/>
    <mergeCell ref="A1:D1"/>
    <mergeCell ref="A2:D2"/>
    <mergeCell ref="A3:D3"/>
    <mergeCell ref="A4:D4"/>
    <mergeCell ref="A7:B7"/>
    <mergeCell ref="C7:D7"/>
    <mergeCell ref="A18:B18"/>
    <mergeCell ref="C18:D18"/>
    <mergeCell ref="A8:B8"/>
    <mergeCell ref="C8:D8"/>
    <mergeCell ref="A17:B17"/>
    <mergeCell ref="C17:D17"/>
  </mergeCells>
  <printOptions/>
  <pageMargins left="0.787401575" right="0.787401575" top="0.984251969" bottom="0.984251969" header="0.492125985" footer="0.492125985"/>
  <pageSetup orientation="portrait" paperSize="9"/>
  <drawing r:id="rId1"/>
</worksheet>
</file>

<file path=xl/worksheets/sheet18.xml><?xml version="1.0" encoding="utf-8"?>
<worksheet xmlns="http://schemas.openxmlformats.org/spreadsheetml/2006/main" xmlns:r="http://schemas.openxmlformats.org/officeDocument/2006/relationships">
  <sheetPr>
    <tabColor theme="3"/>
  </sheetPr>
  <dimension ref="A1:E35"/>
  <sheetViews>
    <sheetView zoomScalePageLayoutView="0" workbookViewId="0" topLeftCell="A1">
      <selection activeCell="A1" sqref="A1:E1"/>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730" t="s">
        <v>689</v>
      </c>
      <c r="B1" s="731"/>
      <c r="C1" s="731"/>
      <c r="D1" s="731"/>
      <c r="E1" s="732"/>
    </row>
    <row r="2" spans="1:5" ht="12.75">
      <c r="A2" s="733" t="s">
        <v>185</v>
      </c>
      <c r="B2" s="492"/>
      <c r="C2" s="492"/>
      <c r="D2" s="492"/>
      <c r="E2" s="734"/>
    </row>
    <row r="3" spans="1:5" ht="12.75">
      <c r="A3" s="68"/>
      <c r="B3" s="69"/>
      <c r="C3" s="69"/>
      <c r="D3" s="69"/>
      <c r="E3" s="70"/>
    </row>
    <row r="4" spans="1:5" ht="12.75">
      <c r="A4" s="735" t="s">
        <v>186</v>
      </c>
      <c r="B4" s="736"/>
      <c r="C4" s="69"/>
      <c r="D4" s="69"/>
      <c r="E4" s="70"/>
    </row>
    <row r="5" spans="1:5" ht="12.75">
      <c r="A5" s="735" t="s">
        <v>187</v>
      </c>
      <c r="B5" s="492"/>
      <c r="C5" s="69"/>
      <c r="D5" s="69"/>
      <c r="E5" s="70"/>
    </row>
    <row r="6" spans="1:5" ht="13.5" thickBot="1">
      <c r="A6" s="71"/>
      <c r="B6" s="72"/>
      <c r="C6" s="72"/>
      <c r="D6" s="72"/>
      <c r="E6" s="73"/>
    </row>
    <row r="7" spans="1:5" ht="12.75">
      <c r="A7" s="724" t="s">
        <v>188</v>
      </c>
      <c r="B7" s="74" t="s">
        <v>189</v>
      </c>
      <c r="C7" s="724" t="s">
        <v>190</v>
      </c>
      <c r="D7" s="727"/>
      <c r="E7" s="74"/>
    </row>
    <row r="8" spans="1:5" ht="12.75">
      <c r="A8" s="725"/>
      <c r="B8" s="75"/>
      <c r="C8" s="725"/>
      <c r="D8" s="728"/>
      <c r="E8" s="75">
        <v>2021</v>
      </c>
    </row>
    <row r="9" spans="1:5" ht="13.5" thickBot="1">
      <c r="A9" s="726"/>
      <c r="B9" s="76" t="s">
        <v>191</v>
      </c>
      <c r="C9" s="726"/>
      <c r="D9" s="729"/>
      <c r="E9" s="77"/>
    </row>
    <row r="10" spans="1:5" ht="12.75">
      <c r="A10" s="719"/>
      <c r="B10" s="719"/>
      <c r="C10" s="719"/>
      <c r="D10" s="78" t="s">
        <v>192</v>
      </c>
      <c r="E10" s="719"/>
    </row>
    <row r="11" spans="1:5" ht="13.5" thickBot="1">
      <c r="A11" s="720"/>
      <c r="B11" s="720"/>
      <c r="C11" s="720"/>
      <c r="D11" s="79" t="s">
        <v>57</v>
      </c>
      <c r="E11" s="720"/>
    </row>
    <row r="12" spans="1:5" ht="12.75">
      <c r="A12" s="719"/>
      <c r="B12" s="719"/>
      <c r="C12" s="719"/>
      <c r="D12" s="78" t="s">
        <v>192</v>
      </c>
      <c r="E12" s="719"/>
    </row>
    <row r="13" spans="1:5" ht="13.5" thickBot="1">
      <c r="A13" s="720"/>
      <c r="B13" s="720"/>
      <c r="C13" s="720"/>
      <c r="D13" s="79" t="s">
        <v>57</v>
      </c>
      <c r="E13" s="720"/>
    </row>
    <row r="14" spans="1:5" ht="12.75">
      <c r="A14" s="719"/>
      <c r="B14" s="719"/>
      <c r="C14" s="719"/>
      <c r="D14" s="78" t="s">
        <v>192</v>
      </c>
      <c r="E14" s="719"/>
    </row>
    <row r="15" spans="1:5" ht="13.5" thickBot="1">
      <c r="A15" s="720"/>
      <c r="B15" s="720"/>
      <c r="C15" s="720"/>
      <c r="D15" s="79" t="s">
        <v>57</v>
      </c>
      <c r="E15" s="720"/>
    </row>
    <row r="16" spans="1:5" ht="12.75">
      <c r="A16" s="719"/>
      <c r="B16" s="719"/>
      <c r="C16" s="719"/>
      <c r="D16" s="78" t="s">
        <v>192</v>
      </c>
      <c r="E16" s="719"/>
    </row>
    <row r="17" spans="1:5" ht="13.5" thickBot="1">
      <c r="A17" s="720"/>
      <c r="B17" s="720"/>
      <c r="C17" s="720"/>
      <c r="D17" s="79" t="s">
        <v>57</v>
      </c>
      <c r="E17" s="720"/>
    </row>
    <row r="18" spans="1:5" ht="12.75">
      <c r="A18" s="719"/>
      <c r="B18" s="719"/>
      <c r="C18" s="719"/>
      <c r="D18" s="78" t="s">
        <v>192</v>
      </c>
      <c r="E18" s="719"/>
    </row>
    <row r="19" spans="1:5" ht="13.5" thickBot="1">
      <c r="A19" s="720"/>
      <c r="B19" s="720"/>
      <c r="C19" s="720"/>
      <c r="D19" s="79" t="s">
        <v>57</v>
      </c>
      <c r="E19" s="720"/>
    </row>
    <row r="20" spans="1:5" ht="12.75">
      <c r="A20" s="719"/>
      <c r="B20" s="719"/>
      <c r="C20" s="719"/>
      <c r="D20" s="78" t="s">
        <v>192</v>
      </c>
      <c r="E20" s="719"/>
    </row>
    <row r="21" spans="1:5" ht="13.5" thickBot="1">
      <c r="A21" s="720"/>
      <c r="B21" s="720"/>
      <c r="C21" s="720"/>
      <c r="D21" s="79" t="s">
        <v>57</v>
      </c>
      <c r="E21" s="720"/>
    </row>
    <row r="22" spans="1:5" ht="12.75">
      <c r="A22" s="719"/>
      <c r="B22" s="719"/>
      <c r="C22" s="719"/>
      <c r="D22" s="78" t="s">
        <v>192</v>
      </c>
      <c r="E22" s="719"/>
    </row>
    <row r="23" spans="1:5" ht="13.5" thickBot="1">
      <c r="A23" s="720"/>
      <c r="B23" s="720"/>
      <c r="C23" s="720"/>
      <c r="D23" s="79" t="s">
        <v>57</v>
      </c>
      <c r="E23" s="720"/>
    </row>
    <row r="24" spans="1:5" ht="12.75">
      <c r="A24" s="719"/>
      <c r="B24" s="719"/>
      <c r="C24" s="719"/>
      <c r="D24" s="78" t="s">
        <v>192</v>
      </c>
      <c r="E24" s="719"/>
    </row>
    <row r="25" spans="1:5" ht="13.5" thickBot="1">
      <c r="A25" s="720"/>
      <c r="B25" s="720"/>
      <c r="C25" s="720"/>
      <c r="D25" s="79" t="s">
        <v>57</v>
      </c>
      <c r="E25" s="720"/>
    </row>
    <row r="26" spans="1:5" ht="12.75">
      <c r="A26" s="719"/>
      <c r="B26" s="719"/>
      <c r="C26" s="719"/>
      <c r="D26" s="78" t="s">
        <v>192</v>
      </c>
      <c r="E26" s="719"/>
    </row>
    <row r="27" spans="1:5" ht="13.5" thickBot="1">
      <c r="A27" s="720"/>
      <c r="B27" s="720"/>
      <c r="C27" s="720"/>
      <c r="D27" s="79" t="s">
        <v>57</v>
      </c>
      <c r="E27" s="720"/>
    </row>
    <row r="28" spans="1:5" ht="12.75">
      <c r="A28" s="719"/>
      <c r="B28" s="719"/>
      <c r="C28" s="719"/>
      <c r="D28" s="78" t="s">
        <v>192</v>
      </c>
      <c r="E28" s="719"/>
    </row>
    <row r="29" spans="1:5" ht="13.5" thickBot="1">
      <c r="A29" s="720"/>
      <c r="B29" s="720"/>
      <c r="C29" s="720"/>
      <c r="D29" s="79" t="s">
        <v>57</v>
      </c>
      <c r="E29" s="720"/>
    </row>
    <row r="30" spans="1:5" ht="12.75">
      <c r="A30" s="719"/>
      <c r="B30" s="719"/>
      <c r="C30" s="719"/>
      <c r="D30" s="78" t="s">
        <v>192</v>
      </c>
      <c r="E30" s="719"/>
    </row>
    <row r="31" spans="1:5" ht="13.5" thickBot="1">
      <c r="A31" s="720"/>
      <c r="B31" s="720"/>
      <c r="C31" s="720"/>
      <c r="D31" s="79" t="s">
        <v>57</v>
      </c>
      <c r="E31" s="720"/>
    </row>
    <row r="32" spans="1:5" ht="12.75">
      <c r="A32" s="719"/>
      <c r="B32" s="719"/>
      <c r="C32" s="719"/>
      <c r="D32" s="78" t="s">
        <v>192</v>
      </c>
      <c r="E32" s="719"/>
    </row>
    <row r="33" spans="1:5" ht="13.5" thickBot="1">
      <c r="A33" s="720"/>
      <c r="B33" s="720"/>
      <c r="C33" s="720"/>
      <c r="D33" s="78" t="s">
        <v>57</v>
      </c>
      <c r="E33" s="720"/>
    </row>
    <row r="34" spans="1:5" ht="13.5" thickBot="1">
      <c r="A34" s="721" t="s">
        <v>193</v>
      </c>
      <c r="B34" s="722"/>
      <c r="C34" s="722"/>
      <c r="D34" s="723"/>
      <c r="E34" s="80"/>
    </row>
    <row r="35" spans="1:2" ht="12.75">
      <c r="A35" s="81" t="s">
        <v>194</v>
      </c>
      <c r="B35" s="81" t="s">
        <v>195</v>
      </c>
    </row>
  </sheetData>
  <sheetProtection/>
  <mergeCells count="56">
    <mergeCell ref="A7:A9"/>
    <mergeCell ref="C7:C9"/>
    <mergeCell ref="D7:D9"/>
    <mergeCell ref="A1:E1"/>
    <mergeCell ref="A2:E2"/>
    <mergeCell ref="A4:B4"/>
    <mergeCell ref="A5:B5"/>
    <mergeCell ref="A10:A11"/>
    <mergeCell ref="B10:B11"/>
    <mergeCell ref="C10:C11"/>
    <mergeCell ref="E10:E11"/>
    <mergeCell ref="A12:A13"/>
    <mergeCell ref="B12:B13"/>
    <mergeCell ref="C12:C13"/>
    <mergeCell ref="E12:E13"/>
    <mergeCell ref="A14:A15"/>
    <mergeCell ref="B14:B15"/>
    <mergeCell ref="C14:C15"/>
    <mergeCell ref="E14:E15"/>
    <mergeCell ref="A16:A17"/>
    <mergeCell ref="B16:B17"/>
    <mergeCell ref="C16:C17"/>
    <mergeCell ref="E16:E17"/>
    <mergeCell ref="A18:A19"/>
    <mergeCell ref="B18:B19"/>
    <mergeCell ref="C18:C19"/>
    <mergeCell ref="E18:E19"/>
    <mergeCell ref="A20:A21"/>
    <mergeCell ref="B20:B21"/>
    <mergeCell ref="C20:C21"/>
    <mergeCell ref="E20:E21"/>
    <mergeCell ref="A22:A23"/>
    <mergeCell ref="B22:B23"/>
    <mergeCell ref="C22:C23"/>
    <mergeCell ref="E22:E23"/>
    <mergeCell ref="A24:A25"/>
    <mergeCell ref="B24:B25"/>
    <mergeCell ref="C24:C25"/>
    <mergeCell ref="E24:E25"/>
    <mergeCell ref="A26:A27"/>
    <mergeCell ref="B26:B27"/>
    <mergeCell ref="C26:C27"/>
    <mergeCell ref="E26:E27"/>
    <mergeCell ref="A28:A29"/>
    <mergeCell ref="B28:B29"/>
    <mergeCell ref="C28:C29"/>
    <mergeCell ref="E28:E29"/>
    <mergeCell ref="E32:E33"/>
    <mergeCell ref="A30:A31"/>
    <mergeCell ref="B30:B31"/>
    <mergeCell ref="C30:C31"/>
    <mergeCell ref="E30:E31"/>
    <mergeCell ref="A34:D34"/>
    <mergeCell ref="A32:A33"/>
    <mergeCell ref="B32:B33"/>
    <mergeCell ref="C32:C33"/>
  </mergeCells>
  <printOptions/>
  <pageMargins left="0.787401575" right="0.787401575" top="0.984251969" bottom="0.984251969" header="0.492125985" footer="0.492125985"/>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N30"/>
  <sheetViews>
    <sheetView zoomScalePageLayoutView="0" workbookViewId="0" topLeftCell="A1">
      <selection activeCell="O11" sqref="O11"/>
    </sheetView>
  </sheetViews>
  <sheetFormatPr defaultColWidth="9.140625" defaultRowHeight="12.75"/>
  <cols>
    <col min="1" max="1" width="19.7109375" style="0" customWidth="1"/>
    <col min="2" max="2" width="19.140625" style="0" customWidth="1"/>
    <col min="3" max="3" width="12.28125" style="0" customWidth="1"/>
    <col min="4" max="4" width="14.421875" style="0" customWidth="1"/>
    <col min="5" max="5" width="11.28125" style="0" customWidth="1"/>
    <col min="6" max="6" width="12.421875" style="0" customWidth="1"/>
    <col min="7" max="7" width="10.8515625" style="0" customWidth="1"/>
    <col min="8" max="8" width="11.57421875" style="0" customWidth="1"/>
    <col min="10" max="10" width="4.7109375" style="0" customWidth="1"/>
    <col min="11" max="11" width="3.7109375" style="0" hidden="1" customWidth="1"/>
    <col min="12" max="12" width="13.140625" style="0" customWidth="1"/>
  </cols>
  <sheetData>
    <row r="1" spans="1:12" ht="12.75">
      <c r="A1" s="767" t="s">
        <v>685</v>
      </c>
      <c r="B1" s="768"/>
      <c r="C1" s="768"/>
      <c r="D1" s="768"/>
      <c r="E1" s="768"/>
      <c r="F1" s="768"/>
      <c r="G1" s="768"/>
      <c r="H1" s="768"/>
      <c r="I1" s="768"/>
      <c r="J1" s="768"/>
      <c r="K1" s="768"/>
      <c r="L1" s="769"/>
    </row>
    <row r="2" spans="1:12" ht="13.5" thickBot="1">
      <c r="A2" s="770"/>
      <c r="B2" s="771"/>
      <c r="C2" s="771"/>
      <c r="D2" s="771"/>
      <c r="E2" s="771"/>
      <c r="F2" s="771"/>
      <c r="G2" s="771"/>
      <c r="H2" s="771"/>
      <c r="I2" s="771"/>
      <c r="J2" s="771"/>
      <c r="K2" s="771"/>
      <c r="L2" s="772"/>
    </row>
    <row r="3" spans="1:12" ht="15.75">
      <c r="A3" s="767" t="s">
        <v>690</v>
      </c>
      <c r="B3" s="773"/>
      <c r="C3" s="773"/>
      <c r="D3" s="773"/>
      <c r="E3" s="773"/>
      <c r="F3" s="773"/>
      <c r="G3" s="773"/>
      <c r="H3" s="773"/>
      <c r="I3" s="773"/>
      <c r="J3" s="773"/>
      <c r="K3" s="773"/>
      <c r="L3" s="774"/>
    </row>
    <row r="4" spans="1:12" ht="15.75">
      <c r="A4" s="775" t="s">
        <v>196</v>
      </c>
      <c r="B4" s="776"/>
      <c r="C4" s="776"/>
      <c r="D4" s="776"/>
      <c r="E4" s="776"/>
      <c r="F4" s="776"/>
      <c r="G4" s="776"/>
      <c r="H4" s="776"/>
      <c r="I4" s="776"/>
      <c r="J4" s="776"/>
      <c r="K4" s="776"/>
      <c r="L4" s="777"/>
    </row>
    <row r="5" spans="1:12" ht="16.5" thickBot="1">
      <c r="A5" s="778" t="s">
        <v>197</v>
      </c>
      <c r="B5" s="779"/>
      <c r="C5" s="779"/>
      <c r="D5" s="779"/>
      <c r="E5" s="779"/>
      <c r="F5" s="779"/>
      <c r="G5" s="779"/>
      <c r="H5" s="779"/>
      <c r="I5" s="779"/>
      <c r="J5" s="779"/>
      <c r="K5" s="779"/>
      <c r="L5" s="780"/>
    </row>
    <row r="6" spans="1:12" ht="15.75" thickBot="1">
      <c r="A6" s="748" t="s">
        <v>198</v>
      </c>
      <c r="B6" s="749"/>
      <c r="C6" s="749"/>
      <c r="D6" s="749"/>
      <c r="E6" s="749"/>
      <c r="F6" s="749"/>
      <c r="G6" s="749"/>
      <c r="H6" s="749"/>
      <c r="I6" s="749"/>
      <c r="J6" s="749"/>
      <c r="K6" s="749"/>
      <c r="L6" s="750"/>
    </row>
    <row r="7" spans="1:12" ht="13.5" thickBot="1">
      <c r="A7" s="751"/>
      <c r="B7" s="752"/>
      <c r="C7" s="82"/>
      <c r="D7" s="82"/>
      <c r="E7" s="753" t="s">
        <v>199</v>
      </c>
      <c r="F7" s="754"/>
      <c r="G7" s="755"/>
      <c r="H7" s="753" t="s">
        <v>697</v>
      </c>
      <c r="I7" s="754"/>
      <c r="J7" s="754"/>
      <c r="K7" s="754"/>
      <c r="L7" s="755"/>
    </row>
    <row r="8" spans="1:12" ht="12.75">
      <c r="A8" s="759" t="s">
        <v>200</v>
      </c>
      <c r="B8" s="760"/>
      <c r="C8" s="757" t="s">
        <v>201</v>
      </c>
      <c r="D8" s="757" t="s">
        <v>202</v>
      </c>
      <c r="E8" s="757" t="s">
        <v>694</v>
      </c>
      <c r="F8" s="757" t="s">
        <v>695</v>
      </c>
      <c r="G8" s="757" t="s">
        <v>696</v>
      </c>
      <c r="H8" s="757" t="s">
        <v>203</v>
      </c>
      <c r="I8" s="759" t="s">
        <v>209</v>
      </c>
      <c r="J8" s="763"/>
      <c r="K8" s="760"/>
      <c r="L8" s="757" t="s">
        <v>204</v>
      </c>
    </row>
    <row r="9" spans="1:12" ht="13.5" thickBot="1">
      <c r="A9" s="761"/>
      <c r="B9" s="762"/>
      <c r="C9" s="758"/>
      <c r="D9" s="758"/>
      <c r="E9" s="758"/>
      <c r="F9" s="758"/>
      <c r="G9" s="758"/>
      <c r="H9" s="781"/>
      <c r="I9" s="764"/>
      <c r="J9" s="765"/>
      <c r="K9" s="766"/>
      <c r="L9" s="781"/>
    </row>
    <row r="10" spans="1:12" ht="13.5" thickBot="1">
      <c r="A10" s="746" t="s">
        <v>673</v>
      </c>
      <c r="B10" s="747"/>
      <c r="C10" s="480">
        <v>43800</v>
      </c>
      <c r="D10" s="479" t="s">
        <v>674</v>
      </c>
      <c r="E10" s="482">
        <v>1</v>
      </c>
      <c r="F10" s="482">
        <v>0</v>
      </c>
      <c r="G10" s="483">
        <v>0</v>
      </c>
      <c r="H10" s="435"/>
      <c r="I10" s="756"/>
      <c r="J10" s="756"/>
      <c r="K10" s="756"/>
      <c r="L10" s="435"/>
    </row>
    <row r="11" spans="1:12" ht="13.5" thickBot="1">
      <c r="A11" s="746" t="s">
        <v>675</v>
      </c>
      <c r="B11" s="747"/>
      <c r="C11" s="480">
        <v>43832</v>
      </c>
      <c r="D11" s="479">
        <v>432000</v>
      </c>
      <c r="E11" s="482">
        <v>0</v>
      </c>
      <c r="F11" s="482">
        <v>0.5</v>
      </c>
      <c r="G11" s="483">
        <v>0.5</v>
      </c>
      <c r="H11" s="387"/>
      <c r="I11" s="739"/>
      <c r="J11" s="739"/>
      <c r="K11" s="739"/>
      <c r="L11" s="387"/>
    </row>
    <row r="12" spans="1:12" ht="13.5" thickBot="1">
      <c r="A12" s="746" t="s">
        <v>676</v>
      </c>
      <c r="B12" s="747"/>
      <c r="C12" s="481">
        <v>43770</v>
      </c>
      <c r="D12" s="479">
        <v>650000</v>
      </c>
      <c r="E12" s="482">
        <v>0.2308</v>
      </c>
      <c r="F12" s="482">
        <v>0.5883</v>
      </c>
      <c r="G12" s="483">
        <v>0.1809</v>
      </c>
      <c r="H12" s="387"/>
      <c r="I12" s="739"/>
      <c r="J12" s="739"/>
      <c r="K12" s="739"/>
      <c r="L12" s="387"/>
    </row>
    <row r="13" spans="1:12" ht="13.5" thickBot="1">
      <c r="A13" s="746" t="s">
        <v>677</v>
      </c>
      <c r="B13" s="747"/>
      <c r="C13" s="481">
        <v>43832</v>
      </c>
      <c r="D13" s="479">
        <v>137388</v>
      </c>
      <c r="E13" s="482">
        <v>0</v>
      </c>
      <c r="F13" s="482">
        <v>0.4</v>
      </c>
      <c r="G13" s="483">
        <v>0.6</v>
      </c>
      <c r="H13" s="387"/>
      <c r="I13" s="739"/>
      <c r="J13" s="739"/>
      <c r="K13" s="739"/>
      <c r="L13" s="387"/>
    </row>
    <row r="14" spans="1:12" ht="13.5" thickBot="1">
      <c r="A14" s="746" t="s">
        <v>678</v>
      </c>
      <c r="B14" s="747"/>
      <c r="C14" s="480">
        <v>43800</v>
      </c>
      <c r="D14" s="479">
        <v>80000</v>
      </c>
      <c r="E14" s="482">
        <v>0.3475</v>
      </c>
      <c r="F14" s="482">
        <v>0.5875</v>
      </c>
      <c r="G14" s="483">
        <v>0.065</v>
      </c>
      <c r="H14" s="387"/>
      <c r="I14" s="739"/>
      <c r="J14" s="739"/>
      <c r="K14" s="739"/>
      <c r="L14" s="387"/>
    </row>
    <row r="15" spans="1:12" ht="13.5" thickBot="1">
      <c r="A15" s="746" t="s">
        <v>679</v>
      </c>
      <c r="B15" s="747"/>
      <c r="C15" s="481">
        <v>43832</v>
      </c>
      <c r="D15" s="479">
        <v>250000</v>
      </c>
      <c r="E15" s="482">
        <v>0</v>
      </c>
      <c r="F15" s="482">
        <v>0.3</v>
      </c>
      <c r="G15" s="483">
        <v>0.7</v>
      </c>
      <c r="H15" s="387"/>
      <c r="I15" s="739"/>
      <c r="J15" s="739"/>
      <c r="K15" s="739"/>
      <c r="L15" s="387"/>
    </row>
    <row r="16" spans="1:12" ht="13.5" thickBot="1">
      <c r="A16" s="746" t="s">
        <v>680</v>
      </c>
      <c r="B16" s="747"/>
      <c r="C16" s="480">
        <v>43832</v>
      </c>
      <c r="D16" s="479">
        <v>2300000</v>
      </c>
      <c r="E16" s="482">
        <v>0.2238</v>
      </c>
      <c r="F16" s="482">
        <v>0.211</v>
      </c>
      <c r="G16" s="483">
        <v>0.5652</v>
      </c>
      <c r="H16" s="387"/>
      <c r="I16" s="739"/>
      <c r="J16" s="739"/>
      <c r="K16" s="739"/>
      <c r="L16" s="387"/>
    </row>
    <row r="17" spans="1:12" ht="13.5" thickBot="1">
      <c r="A17" s="746" t="s">
        <v>681</v>
      </c>
      <c r="B17" s="747"/>
      <c r="C17" s="480">
        <v>43832</v>
      </c>
      <c r="D17" s="479">
        <v>1151000</v>
      </c>
      <c r="E17" s="482">
        <v>0.2528</v>
      </c>
      <c r="F17" s="482">
        <v>0.2033</v>
      </c>
      <c r="G17" s="483">
        <v>0.5439</v>
      </c>
      <c r="H17" s="387"/>
      <c r="I17" s="739"/>
      <c r="J17" s="739"/>
      <c r="K17" s="739"/>
      <c r="L17" s="387"/>
    </row>
    <row r="18" spans="1:12" ht="13.5" thickBot="1">
      <c r="A18" s="746" t="s">
        <v>682</v>
      </c>
      <c r="B18" s="747"/>
      <c r="C18" s="480">
        <v>43832</v>
      </c>
      <c r="D18" s="479">
        <v>500000</v>
      </c>
      <c r="E18" s="482">
        <v>0</v>
      </c>
      <c r="F18" s="482">
        <v>0</v>
      </c>
      <c r="G18" s="483">
        <v>1</v>
      </c>
      <c r="H18" s="387"/>
      <c r="I18" s="739"/>
      <c r="J18" s="739"/>
      <c r="K18" s="739"/>
      <c r="L18" s="387"/>
    </row>
    <row r="19" spans="1:12" ht="13.5" thickBot="1">
      <c r="A19" s="746" t="s">
        <v>683</v>
      </c>
      <c r="B19" s="747"/>
      <c r="C19" s="480">
        <v>43832</v>
      </c>
      <c r="D19" s="479">
        <v>264490</v>
      </c>
      <c r="E19" s="482">
        <v>0</v>
      </c>
      <c r="F19" s="482">
        <v>0.5</v>
      </c>
      <c r="G19" s="483">
        <v>0.5</v>
      </c>
      <c r="H19" s="387"/>
      <c r="I19" s="739"/>
      <c r="J19" s="739"/>
      <c r="K19" s="739"/>
      <c r="L19" s="387"/>
    </row>
    <row r="20" spans="1:12" ht="13.5" thickBot="1">
      <c r="A20" s="746" t="s">
        <v>684</v>
      </c>
      <c r="B20" s="747"/>
      <c r="C20" s="480">
        <v>43832</v>
      </c>
      <c r="D20" s="479">
        <v>248964.17</v>
      </c>
      <c r="E20" s="482">
        <v>0</v>
      </c>
      <c r="F20" s="482">
        <v>0.85</v>
      </c>
      <c r="G20" s="483">
        <v>0.15</v>
      </c>
      <c r="H20" s="387"/>
      <c r="I20" s="739"/>
      <c r="J20" s="739"/>
      <c r="K20" s="739"/>
      <c r="L20" s="387"/>
    </row>
    <row r="21" spans="1:12" ht="13.5" thickBot="1">
      <c r="A21" s="737" t="s">
        <v>698</v>
      </c>
      <c r="B21" s="738"/>
      <c r="C21" s="485">
        <v>44484</v>
      </c>
      <c r="D21" s="300">
        <v>400000</v>
      </c>
      <c r="E21" s="486">
        <v>0</v>
      </c>
      <c r="F21" s="486">
        <v>0.8</v>
      </c>
      <c r="G21" s="487">
        <v>0.2</v>
      </c>
      <c r="H21" s="387"/>
      <c r="I21" s="739"/>
      <c r="J21" s="739"/>
      <c r="K21" s="739"/>
      <c r="L21" s="387"/>
    </row>
    <row r="22" spans="1:12" ht="13.5" thickBot="1">
      <c r="A22" s="737" t="s">
        <v>699</v>
      </c>
      <c r="B22" s="738"/>
      <c r="C22" s="485">
        <v>44473</v>
      </c>
      <c r="D22" s="300">
        <v>816626.03</v>
      </c>
      <c r="E22" s="486">
        <v>0</v>
      </c>
      <c r="F22" s="486">
        <v>0.5</v>
      </c>
      <c r="G22" s="487">
        <v>0.5</v>
      </c>
      <c r="H22" s="387"/>
      <c r="I22" s="739"/>
      <c r="J22" s="739"/>
      <c r="K22" s="739"/>
      <c r="L22" s="387"/>
    </row>
    <row r="23" spans="1:12" ht="13.5" thickBot="1">
      <c r="A23" s="737" t="s">
        <v>700</v>
      </c>
      <c r="B23" s="738"/>
      <c r="C23" s="485">
        <v>44910</v>
      </c>
      <c r="D23" s="300">
        <v>300200</v>
      </c>
      <c r="E23" s="486">
        <v>0</v>
      </c>
      <c r="F23" s="486">
        <v>0</v>
      </c>
      <c r="G23" s="487">
        <v>1</v>
      </c>
      <c r="H23" s="387"/>
      <c r="I23" s="739"/>
      <c r="J23" s="739"/>
      <c r="K23" s="739"/>
      <c r="L23" s="387"/>
    </row>
    <row r="24" spans="1:12" ht="13.5" thickBot="1">
      <c r="A24" s="737"/>
      <c r="B24" s="738"/>
      <c r="C24" s="299"/>
      <c r="D24" s="300"/>
      <c r="E24" s="298"/>
      <c r="F24" s="298"/>
      <c r="G24" s="434"/>
      <c r="H24" s="387"/>
      <c r="I24" s="739"/>
      <c r="J24" s="739"/>
      <c r="K24" s="739"/>
      <c r="L24" s="387"/>
    </row>
    <row r="25" spans="1:12" ht="13.5" thickBot="1">
      <c r="A25" s="737"/>
      <c r="B25" s="738"/>
      <c r="C25" s="299"/>
      <c r="D25" s="300"/>
      <c r="E25" s="298"/>
      <c r="F25" s="298"/>
      <c r="G25" s="434"/>
      <c r="H25" s="387"/>
      <c r="I25" s="739"/>
      <c r="J25" s="739"/>
      <c r="K25" s="739"/>
      <c r="L25" s="387"/>
    </row>
    <row r="26" spans="1:12" ht="13.5" thickBot="1">
      <c r="A26" s="737"/>
      <c r="B26" s="738"/>
      <c r="C26" s="299"/>
      <c r="D26" s="300"/>
      <c r="E26" s="298"/>
      <c r="F26" s="298"/>
      <c r="G26" s="434"/>
      <c r="H26" s="387"/>
      <c r="I26" s="739"/>
      <c r="J26" s="739"/>
      <c r="K26" s="739"/>
      <c r="L26" s="387"/>
    </row>
    <row r="27" spans="1:12" ht="13.5" thickBot="1">
      <c r="A27" s="740" t="s">
        <v>205</v>
      </c>
      <c r="B27" s="741"/>
      <c r="C27" s="741"/>
      <c r="D27" s="741"/>
      <c r="E27" s="741"/>
      <c r="F27" s="741"/>
      <c r="G27" s="742"/>
      <c r="H27" s="297">
        <f>SUM(H10:H26)</f>
        <v>0</v>
      </c>
      <c r="I27" s="743">
        <v>0</v>
      </c>
      <c r="J27" s="744"/>
      <c r="K27" s="745"/>
      <c r="L27" s="297">
        <f>SUM(L10:L26)</f>
        <v>0</v>
      </c>
    </row>
    <row r="30" ht="12.75">
      <c r="N30" s="301"/>
    </row>
  </sheetData>
  <sheetProtection/>
  <mergeCells count="53">
    <mergeCell ref="A1:L2"/>
    <mergeCell ref="A3:L3"/>
    <mergeCell ref="A4:L4"/>
    <mergeCell ref="A5:L5"/>
    <mergeCell ref="I11:K11"/>
    <mergeCell ref="L8:L9"/>
    <mergeCell ref="F8:F9"/>
    <mergeCell ref="H7:L7"/>
    <mergeCell ref="D8:D9"/>
    <mergeCell ref="H8:H9"/>
    <mergeCell ref="I19:K19"/>
    <mergeCell ref="I16:K16"/>
    <mergeCell ref="I17:K17"/>
    <mergeCell ref="I18:K18"/>
    <mergeCell ref="A16:B16"/>
    <mergeCell ref="A17:B17"/>
    <mergeCell ref="A18:B18"/>
    <mergeCell ref="A19:B19"/>
    <mergeCell ref="A6:L6"/>
    <mergeCell ref="A7:B7"/>
    <mergeCell ref="E7:G7"/>
    <mergeCell ref="I10:K10"/>
    <mergeCell ref="E8:E9"/>
    <mergeCell ref="A8:B9"/>
    <mergeCell ref="C8:C9"/>
    <mergeCell ref="G8:G9"/>
    <mergeCell ref="I8:K9"/>
    <mergeCell ref="A10:B10"/>
    <mergeCell ref="A11:B11"/>
    <mergeCell ref="A13:B13"/>
    <mergeCell ref="A14:B14"/>
    <mergeCell ref="A15:B15"/>
    <mergeCell ref="I12:K12"/>
    <mergeCell ref="I13:K13"/>
    <mergeCell ref="I14:K14"/>
    <mergeCell ref="I15:K15"/>
    <mergeCell ref="A12:B12"/>
    <mergeCell ref="A23:B23"/>
    <mergeCell ref="I23:K23"/>
    <mergeCell ref="I20:K20"/>
    <mergeCell ref="A21:B21"/>
    <mergeCell ref="I21:K21"/>
    <mergeCell ref="A22:B22"/>
    <mergeCell ref="A20:B20"/>
    <mergeCell ref="I22:K22"/>
    <mergeCell ref="A24:B24"/>
    <mergeCell ref="I24:K24"/>
    <mergeCell ref="A27:G27"/>
    <mergeCell ref="I27:K27"/>
    <mergeCell ref="A25:B25"/>
    <mergeCell ref="I25:K25"/>
    <mergeCell ref="A26:B26"/>
    <mergeCell ref="I26:K26"/>
  </mergeCells>
  <printOptions/>
  <pageMargins left="0.787401575" right="0.787401575" top="0.984251969" bottom="0.984251969" header="0.492125985" footer="0.492125985"/>
  <pageSetup orientation="portrait" paperSize="9" r:id="rId1"/>
</worksheet>
</file>

<file path=xl/worksheets/sheet2.xml><?xml version="1.0" encoding="utf-8"?>
<worksheet xmlns="http://schemas.openxmlformats.org/spreadsheetml/2006/main" xmlns:r="http://schemas.openxmlformats.org/officeDocument/2006/relationships">
  <sheetPr codeName="Plan3">
    <tabColor rgb="FFFFFF00"/>
    <pageSetUpPr fitToPage="1"/>
  </sheetPr>
  <dimension ref="A1:FU309"/>
  <sheetViews>
    <sheetView zoomScale="75" zoomScaleNormal="75" zoomScaleSheetLayoutView="30" workbookViewId="0" topLeftCell="B98">
      <selection activeCell="J134" sqref="J134"/>
    </sheetView>
  </sheetViews>
  <sheetFormatPr defaultColWidth="19.140625" defaultRowHeight="12.75"/>
  <cols>
    <col min="1" max="1" width="27.7109375" style="4" customWidth="1"/>
    <col min="2" max="2" width="62.57421875" style="4" customWidth="1"/>
    <col min="3" max="6" width="20.7109375" style="4" customWidth="1"/>
    <col min="7" max="7" width="22.421875" style="4" customWidth="1"/>
    <col min="8" max="8" width="22.8515625" style="4" customWidth="1"/>
    <col min="9" max="9" width="23.00390625" style="4" customWidth="1"/>
    <col min="10" max="11" width="19.140625" style="106" customWidth="1"/>
    <col min="12" max="12" width="21.140625" style="106" bestFit="1" customWidth="1"/>
    <col min="13" max="177" width="19.140625" style="106" customWidth="1"/>
    <col min="178" max="16384" width="19.140625" style="4" customWidth="1"/>
  </cols>
  <sheetData>
    <row r="1" spans="1:177" s="2" customFormat="1" ht="17.25" customHeight="1">
      <c r="A1" s="501" t="str">
        <f>Parâmetros!A7</f>
        <v>Município de : Tavares</v>
      </c>
      <c r="B1" s="502"/>
      <c r="C1" s="502"/>
      <c r="D1" s="502"/>
      <c r="E1" s="502"/>
      <c r="F1" s="502"/>
      <c r="G1" s="502"/>
      <c r="H1" s="502"/>
      <c r="I1" s="502"/>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row>
    <row r="2" spans="1:177" s="2" customFormat="1" ht="30" customHeight="1">
      <c r="A2" s="503" t="str">
        <f>Parâmetros!A8</f>
        <v>LEI  ORÇAMENTÁRIAS  PARA 2022</v>
      </c>
      <c r="B2" s="502"/>
      <c r="C2" s="502"/>
      <c r="D2" s="502"/>
      <c r="E2" s="502"/>
      <c r="F2" s="502"/>
      <c r="G2" s="502"/>
      <c r="H2" s="502"/>
      <c r="I2" s="502"/>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row>
    <row r="3" spans="1:177" s="2" customFormat="1" ht="19.5" customHeight="1">
      <c r="A3" s="504" t="s">
        <v>638</v>
      </c>
      <c r="B3" s="502"/>
      <c r="C3" s="502"/>
      <c r="D3" s="502"/>
      <c r="E3" s="502"/>
      <c r="F3" s="502"/>
      <c r="G3" s="502"/>
      <c r="H3" s="502"/>
      <c r="I3" s="502"/>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row>
    <row r="4" spans="1:177" s="2" customFormat="1" ht="15.75" hidden="1">
      <c r="A4" s="15"/>
      <c r="B4" s="16"/>
      <c r="C4" s="16"/>
      <c r="D4" s="16"/>
      <c r="E4" s="16"/>
      <c r="F4" s="16"/>
      <c r="G4" s="16"/>
      <c r="H4" s="16"/>
      <c r="I4" s="16"/>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row>
    <row r="5" spans="1:177" s="2" customFormat="1" ht="15.75">
      <c r="A5" s="17"/>
      <c r="B5" s="18"/>
      <c r="C5" s="18"/>
      <c r="D5" s="18"/>
      <c r="E5" s="18"/>
      <c r="F5" s="18"/>
      <c r="G5" s="18"/>
      <c r="H5" s="18"/>
      <c r="I5" s="19" t="s">
        <v>55</v>
      </c>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row>
    <row r="6" spans="1:177" s="1" customFormat="1" ht="15.75">
      <c r="A6" s="227"/>
      <c r="B6" s="228" t="s">
        <v>0</v>
      </c>
      <c r="C6" s="229" t="s">
        <v>214</v>
      </c>
      <c r="D6" s="229" t="s">
        <v>214</v>
      </c>
      <c r="E6" s="230" t="s">
        <v>214</v>
      </c>
      <c r="F6" s="230" t="s">
        <v>130</v>
      </c>
      <c r="G6" s="230" t="s">
        <v>12</v>
      </c>
      <c r="H6" s="231" t="s">
        <v>12</v>
      </c>
      <c r="I6" s="232" t="s">
        <v>12</v>
      </c>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row>
    <row r="7" spans="1:177" s="1" customFormat="1" ht="27.75" customHeight="1">
      <c r="A7" s="233"/>
      <c r="B7" s="234" t="s">
        <v>8</v>
      </c>
      <c r="C7" s="235">
        <v>2018</v>
      </c>
      <c r="D7" s="235">
        <f aca="true" t="shared" si="0" ref="D7:I7">C7+1</f>
        <v>2019</v>
      </c>
      <c r="E7" s="235">
        <f t="shared" si="0"/>
        <v>2020</v>
      </c>
      <c r="F7" s="235">
        <f t="shared" si="0"/>
        <v>2021</v>
      </c>
      <c r="G7" s="235">
        <f t="shared" si="0"/>
        <v>2022</v>
      </c>
      <c r="H7" s="235">
        <f t="shared" si="0"/>
        <v>2023</v>
      </c>
      <c r="I7" s="235">
        <f t="shared" si="0"/>
        <v>2024</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row>
    <row r="8" spans="1:177" s="89" customFormat="1" ht="17.25" customHeight="1">
      <c r="A8" s="236" t="s">
        <v>215</v>
      </c>
      <c r="B8" s="237" t="s">
        <v>216</v>
      </c>
      <c r="C8" s="238">
        <f aca="true" t="shared" si="1" ref="C8:I8">C9+C15+C23+C34+C35+C36+C39+C66</f>
        <v>19319974.392</v>
      </c>
      <c r="D8" s="238">
        <f t="shared" si="1"/>
        <v>21326229.529999997</v>
      </c>
      <c r="E8" s="238">
        <f t="shared" si="1"/>
        <v>22655549.119999997</v>
      </c>
      <c r="F8" s="238">
        <f t="shared" si="1"/>
        <v>25434096.599999998</v>
      </c>
      <c r="G8" s="238">
        <f t="shared" si="1"/>
        <v>28234702.84</v>
      </c>
      <c r="H8" s="238">
        <f t="shared" si="1"/>
        <v>31326858.71832045</v>
      </c>
      <c r="I8" s="238">
        <f t="shared" si="1"/>
        <v>34325852.9816612</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row>
    <row r="9" spans="1:177" s="8" customFormat="1" ht="12.75">
      <c r="A9" s="239" t="s">
        <v>217</v>
      </c>
      <c r="B9" s="240" t="s">
        <v>218</v>
      </c>
      <c r="C9" s="241">
        <f aca="true" t="shared" si="2" ref="C9:I9">C10+C11+C12+C13+C14</f>
        <v>957109.47</v>
      </c>
      <c r="D9" s="241">
        <f t="shared" si="2"/>
        <v>1082614.9599999997</v>
      </c>
      <c r="E9" s="241">
        <f t="shared" si="2"/>
        <v>1180935.71</v>
      </c>
      <c r="F9" s="241">
        <f t="shared" si="2"/>
        <v>1463614.2857142857</v>
      </c>
      <c r="G9" s="241">
        <f t="shared" si="2"/>
        <v>3272592.84</v>
      </c>
      <c r="H9" s="241">
        <f t="shared" si="2"/>
        <v>3895417.8264222937</v>
      </c>
      <c r="I9" s="241">
        <f t="shared" si="2"/>
        <v>4784951.076607115</v>
      </c>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row>
    <row r="10" spans="1:177" s="8" customFormat="1" ht="25.5">
      <c r="A10" s="242" t="s">
        <v>399</v>
      </c>
      <c r="B10" s="243" t="s">
        <v>402</v>
      </c>
      <c r="C10" s="86">
        <v>147810.69</v>
      </c>
      <c r="D10" s="86">
        <v>164982.19</v>
      </c>
      <c r="E10" s="86">
        <v>202743.57</v>
      </c>
      <c r="F10" s="86">
        <f>107339.18/7*12</f>
        <v>184010.02285714285</v>
      </c>
      <c r="G10" s="244">
        <v>256000</v>
      </c>
      <c r="H10" s="244">
        <f>G10*(1+Parâmetros!F11)*(1+Parâmetros!F15)</f>
        <v>304720.75577972207</v>
      </c>
      <c r="I10" s="244">
        <f>H10*(1+Parâmetros!G11)*(1+Parâmetros!G15)</f>
        <v>374304.88163367775</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row>
    <row r="11" spans="1:177" s="8" customFormat="1" ht="12.75">
      <c r="A11" s="242" t="s">
        <v>400</v>
      </c>
      <c r="B11" s="243" t="s">
        <v>403</v>
      </c>
      <c r="C11" s="86">
        <v>15370.5</v>
      </c>
      <c r="D11" s="86">
        <v>17404.51</v>
      </c>
      <c r="E11" s="86">
        <v>20876.46</v>
      </c>
      <c r="F11" s="86">
        <f>10264.96/7*12</f>
        <v>17597.074285714283</v>
      </c>
      <c r="G11" s="244">
        <v>26000</v>
      </c>
      <c r="H11" s="244">
        <f>G11*(1+Parâmetros!F11)*(1+Parâmetros!F15)</f>
        <v>30948.20175887802</v>
      </c>
      <c r="I11" s="244">
        <f>H11*(1+Parâmetros!G11)*(1+Parâmetros!G15)</f>
        <v>38015.3395409204</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row>
    <row r="12" spans="1:177" s="8" customFormat="1" ht="12.75">
      <c r="A12" s="242" t="s">
        <v>219</v>
      </c>
      <c r="B12" s="243" t="s">
        <v>401</v>
      </c>
      <c r="C12" s="86">
        <v>638244.05</v>
      </c>
      <c r="D12" s="86">
        <f>872308.09-D11-D10</f>
        <v>689921.3899999999</v>
      </c>
      <c r="E12" s="86">
        <f>866681.29-E10-E11</f>
        <v>643061.26</v>
      </c>
      <c r="F12" s="86">
        <f>853775/7*12-F10-F11-F13-F14</f>
        <v>869817.6857142858</v>
      </c>
      <c r="G12" s="244">
        <f>2754300-G10-G11</f>
        <v>2472300</v>
      </c>
      <c r="H12" s="244">
        <f>G12*(1+Parâmetros!F11)*(1+Parâmetros!F15)</f>
        <v>2942816.8926336206</v>
      </c>
      <c r="I12" s="244">
        <f>H12*(1+Parâmetros!G11)*(1+Parâmetros!G15)</f>
        <v>3614820.1518083657</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row>
    <row r="13" spans="1:177" s="8" customFormat="1" ht="12" customHeight="1">
      <c r="A13" s="242" t="s">
        <v>220</v>
      </c>
      <c r="B13" s="243" t="s">
        <v>221</v>
      </c>
      <c r="C13" s="86">
        <v>154646.39</v>
      </c>
      <c r="D13" s="86">
        <v>149964.49</v>
      </c>
      <c r="E13" s="86">
        <v>162886.72</v>
      </c>
      <c r="F13" s="86">
        <f>134844.62/7*12</f>
        <v>231162.2057142857</v>
      </c>
      <c r="G13" s="244">
        <v>335292.84</v>
      </c>
      <c r="H13" s="244">
        <f>G13*(1+Parâmetros!F11)*(1+Parâmetros!F15)</f>
        <v>399104.2484856618</v>
      </c>
      <c r="I13" s="244">
        <f>H13*(1+Parâmetros!G11)*(1+Parâmetros!G15)</f>
        <v>490241.1983938268</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row>
    <row r="14" spans="1:177" s="8" customFormat="1" ht="12.75">
      <c r="A14" s="242" t="s">
        <v>222</v>
      </c>
      <c r="B14" s="243" t="s">
        <v>223</v>
      </c>
      <c r="C14" s="86">
        <v>1037.84</v>
      </c>
      <c r="D14" s="86">
        <v>60342.38</v>
      </c>
      <c r="E14" s="86">
        <v>151367.7</v>
      </c>
      <c r="F14" s="86">
        <f>93932.59/7*12</f>
        <v>161027.29714285713</v>
      </c>
      <c r="G14" s="244">
        <v>183000</v>
      </c>
      <c r="H14" s="244">
        <f>G14*(1+Parâmetros!F11)*(1+Parâmetros!F15)</f>
        <v>217827.7277644107</v>
      </c>
      <c r="I14" s="244">
        <f>H14*(1+Parâmetros!G11)*(1+Parâmetros!G15)</f>
        <v>267569.50523032434</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row>
    <row r="15" spans="1:177" ht="12.75">
      <c r="A15" s="239" t="s">
        <v>224</v>
      </c>
      <c r="B15" s="240" t="s">
        <v>225</v>
      </c>
      <c r="C15" s="241">
        <f aca="true" t="shared" si="3" ref="C15:I15">C16+C21+C22</f>
        <v>0</v>
      </c>
      <c r="D15" s="241">
        <f t="shared" si="3"/>
        <v>0</v>
      </c>
      <c r="E15" s="241">
        <f t="shared" si="3"/>
        <v>0</v>
      </c>
      <c r="F15" s="241">
        <f t="shared" si="3"/>
        <v>0</v>
      </c>
      <c r="G15" s="241">
        <f t="shared" si="3"/>
        <v>0</v>
      </c>
      <c r="H15" s="241">
        <f t="shared" si="3"/>
        <v>0</v>
      </c>
      <c r="I15" s="241">
        <f t="shared" si="3"/>
        <v>0</v>
      </c>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row>
    <row r="16" spans="1:177" ht="12.75">
      <c r="A16" s="239" t="s">
        <v>226</v>
      </c>
      <c r="B16" s="240" t="s">
        <v>227</v>
      </c>
      <c r="C16" s="241">
        <f aca="true" t="shared" si="4" ref="C16:I16">C17+C18+C19+C20</f>
        <v>0</v>
      </c>
      <c r="D16" s="241">
        <f t="shared" si="4"/>
        <v>0</v>
      </c>
      <c r="E16" s="241">
        <f t="shared" si="4"/>
        <v>0</v>
      </c>
      <c r="F16" s="241">
        <f t="shared" si="4"/>
        <v>0</v>
      </c>
      <c r="G16" s="241">
        <f t="shared" si="4"/>
        <v>0</v>
      </c>
      <c r="H16" s="241">
        <f t="shared" si="4"/>
        <v>0</v>
      </c>
      <c r="I16" s="241">
        <f t="shared" si="4"/>
        <v>0</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row>
    <row r="17" spans="1:177" ht="25.5">
      <c r="A17" s="242" t="s">
        <v>228</v>
      </c>
      <c r="B17" s="243" t="s">
        <v>388</v>
      </c>
      <c r="C17" s="86">
        <v>0</v>
      </c>
      <c r="D17" s="86">
        <v>0</v>
      </c>
      <c r="E17" s="86">
        <v>0</v>
      </c>
      <c r="F17" s="86">
        <v>0</v>
      </c>
      <c r="G17" s="244">
        <f>(((D17*(1+Parâmetros!B11)*(1+Parâmetros!C11)*(1+Parâmetros!D11))+(E17*(1+Parâmetros!C11)*(1+Parâmetros!D11)+(F17*(1+Parâmetros!D11))))/3)*(1+Parâmetros!E11)*(1+Parâmetros!E13)*(1+Parâmetros!E18)</f>
        <v>0</v>
      </c>
      <c r="H17" s="244">
        <f>G17*(1+Parâmetros!F11)*(1+Parâmetros!F13)*(1+Parâmetros!F18)</f>
        <v>0</v>
      </c>
      <c r="I17" s="244">
        <f>H17*(1+Parâmetros!G11)*(1+Parâmetros!G13)*(1+Parâmetros!G18)</f>
        <v>0</v>
      </c>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row>
    <row r="18" spans="1:177" ht="12.75">
      <c r="A18" s="242" t="s">
        <v>229</v>
      </c>
      <c r="B18" s="243" t="s">
        <v>230</v>
      </c>
      <c r="C18" s="86">
        <v>0</v>
      </c>
      <c r="D18" s="86">
        <v>0</v>
      </c>
      <c r="E18" s="86">
        <v>0</v>
      </c>
      <c r="F18" s="86">
        <v>0</v>
      </c>
      <c r="G18" s="244">
        <f>(((D18*(1+Parâmetros!B11)*(1+Parâmetros!C11)*(1+Parâmetros!D11))+(E18*(1+Parâmetros!C11)*(1+Parâmetros!D11)+(F18*(1+Parâmetros!D11))))/3)*(1+Parâmetros!E11)</f>
        <v>0</v>
      </c>
      <c r="H18" s="244">
        <f>G18*(1+Parâmetros!F11)</f>
        <v>0</v>
      </c>
      <c r="I18" s="244">
        <f>H18*(1+Parâmetros!G11)</f>
        <v>0</v>
      </c>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row>
    <row r="19" spans="1:177" ht="12.75">
      <c r="A19" s="242" t="s">
        <v>231</v>
      </c>
      <c r="B19" s="243" t="s">
        <v>232</v>
      </c>
      <c r="C19" s="86">
        <v>0</v>
      </c>
      <c r="D19" s="86">
        <v>0</v>
      </c>
      <c r="E19" s="86">
        <v>0</v>
      </c>
      <c r="F19" s="86">
        <v>0</v>
      </c>
      <c r="G19" s="244">
        <f>(((D19*(1+Parâmetros!B11)*(1+Parâmetros!C11)*(1+Parâmetros!D11))+(E19*(1+Parâmetros!C11)*(1+Parâmetros!D11)+(F19*(1+Parâmetros!D11))))/3)*(1+Parâmetros!E11)</f>
        <v>0</v>
      </c>
      <c r="H19" s="244">
        <f>G19*(1+Parâmetros!F11)</f>
        <v>0</v>
      </c>
      <c r="I19" s="244">
        <f>H19*(1+Parâmetros!G11)</f>
        <v>0</v>
      </c>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row>
    <row r="20" spans="1:177" ht="12.75">
      <c r="A20" s="242" t="s">
        <v>233</v>
      </c>
      <c r="B20" s="243" t="s">
        <v>234</v>
      </c>
      <c r="C20" s="86">
        <v>0</v>
      </c>
      <c r="D20" s="86">
        <v>0</v>
      </c>
      <c r="E20" s="86">
        <v>0</v>
      </c>
      <c r="F20" s="86">
        <v>0</v>
      </c>
      <c r="G20" s="244">
        <f>(((D20*(1+Parâmetros!B11)*(1+Parâmetros!C11)*(1+Parâmetros!D11))+(E20*(1+Parâmetros!C11)*(1+Parâmetros!D11)+(F20*(1+Parâmetros!D11))))/3)*(1+Parâmetros!E11)</f>
        <v>0</v>
      </c>
      <c r="H20" s="244">
        <f>G20*(1+Parâmetros!F11)</f>
        <v>0</v>
      </c>
      <c r="I20" s="244">
        <f>H20*(1+Parâmetros!G11)</f>
        <v>0</v>
      </c>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row>
    <row r="21" spans="1:177" s="8" customFormat="1" ht="12.75">
      <c r="A21" s="242" t="s">
        <v>235</v>
      </c>
      <c r="B21" s="243" t="s">
        <v>236</v>
      </c>
      <c r="C21" s="86">
        <v>0</v>
      </c>
      <c r="D21" s="86">
        <v>0</v>
      </c>
      <c r="E21" s="86">
        <v>0</v>
      </c>
      <c r="F21" s="86">
        <v>0</v>
      </c>
      <c r="G21" s="244">
        <f>(((D21*(1+Parâmetros!B11)*(1+Parâmetros!C11)*(1+Parâmetros!D11))+(E21*(1+Parâmetros!C11)*(1+Parâmetros!D11)+(F21*(1+Parâmetros!D11))))/3)*(1+Parâmetros!E11)</f>
        <v>0</v>
      </c>
      <c r="H21" s="244">
        <f>G21*(1+Parâmetros!F11)</f>
        <v>0</v>
      </c>
      <c r="I21" s="244">
        <f>H21*(1+Parâmetros!G11)</f>
        <v>0</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row>
    <row r="22" spans="1:177" s="8" customFormat="1" ht="12.75">
      <c r="A22" s="242" t="s">
        <v>237</v>
      </c>
      <c r="B22" s="243" t="s">
        <v>238</v>
      </c>
      <c r="C22" s="86">
        <v>0</v>
      </c>
      <c r="D22" s="86">
        <v>0</v>
      </c>
      <c r="E22" s="86">
        <v>0</v>
      </c>
      <c r="F22" s="86">
        <v>0</v>
      </c>
      <c r="G22" s="244">
        <f>(((D22*(1+Parâmetros!B11)*(1+Parâmetros!C11)*(1+Parâmetros!D11))+(E22*(1+Parâmetros!C11)*(1+Parâmetros!D11)+(F22*(1+Parâmetros!D11))))/3)*(1+Parâmetros!E11)*(1+Parâmetros!E12)</f>
        <v>0</v>
      </c>
      <c r="H22" s="244">
        <f>G22*(1+Parâmetros!F11)*(1+Parâmetros!F12)</f>
        <v>0</v>
      </c>
      <c r="I22" s="244">
        <f>H22*(1+Parâmetros!G11)*(1+Parâmetros!G12)</f>
        <v>0</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row>
    <row r="23" spans="1:177" s="8" customFormat="1" ht="12.75">
      <c r="A23" s="239" t="s">
        <v>239</v>
      </c>
      <c r="B23" s="240" t="s">
        <v>240</v>
      </c>
      <c r="C23" s="241">
        <f aca="true" t="shared" si="5" ref="C23:I23">C24+C25+C31+C32+C33</f>
        <v>54391.729999999996</v>
      </c>
      <c r="D23" s="241">
        <f t="shared" si="5"/>
        <v>137308.14</v>
      </c>
      <c r="E23" s="241">
        <f t="shared" si="5"/>
        <v>15279.82</v>
      </c>
      <c r="F23" s="241">
        <f t="shared" si="5"/>
        <v>40229.417142857135</v>
      </c>
      <c r="G23" s="241">
        <f t="shared" si="5"/>
        <v>564740</v>
      </c>
      <c r="H23" s="241">
        <f t="shared" si="5"/>
        <v>585775.9001555999</v>
      </c>
      <c r="I23" s="241">
        <f t="shared" si="5"/>
        <v>606932.0150871826</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row>
    <row r="24" spans="1:177" s="8" customFormat="1" ht="12.75">
      <c r="A24" s="242" t="s">
        <v>241</v>
      </c>
      <c r="B24" s="243" t="s">
        <v>242</v>
      </c>
      <c r="C24" s="86">
        <v>12910.41</v>
      </c>
      <c r="D24" s="86">
        <v>110668.33</v>
      </c>
      <c r="E24" s="86">
        <v>1250.8</v>
      </c>
      <c r="F24" s="86">
        <f>50/7*12</f>
        <v>85.71428571428572</v>
      </c>
      <c r="G24" s="244">
        <v>501100</v>
      </c>
      <c r="H24" s="244">
        <f>G24*(1+Parâmetros!F11)</f>
        <v>518287.73</v>
      </c>
      <c r="I24" s="244">
        <f>H24*(1+Parâmetros!G11)</f>
        <v>535494.8826359999</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row>
    <row r="25" spans="1:177" s="88" customFormat="1" ht="15.75">
      <c r="A25" s="239" t="s">
        <v>243</v>
      </c>
      <c r="B25" s="240" t="s">
        <v>244</v>
      </c>
      <c r="C25" s="241">
        <f aca="true" t="shared" si="6" ref="C25:I25">C26+C27+C28+C29+C30</f>
        <v>41481.32</v>
      </c>
      <c r="D25" s="241">
        <f t="shared" si="6"/>
        <v>26639.81</v>
      </c>
      <c r="E25" s="241">
        <f t="shared" si="6"/>
        <v>14029.02</v>
      </c>
      <c r="F25" s="241">
        <f t="shared" si="6"/>
        <v>40143.70285714285</v>
      </c>
      <c r="G25" s="241">
        <f t="shared" si="6"/>
        <v>63640</v>
      </c>
      <c r="H25" s="241">
        <f t="shared" si="6"/>
        <v>67488.1701556</v>
      </c>
      <c r="I25" s="241">
        <f t="shared" si="6"/>
        <v>71437.13245118268</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row>
    <row r="26" spans="1:177" ht="12.75">
      <c r="A26" s="242" t="s">
        <v>245</v>
      </c>
      <c r="B26" s="243" t="s">
        <v>246</v>
      </c>
      <c r="C26" s="86">
        <v>6836.25</v>
      </c>
      <c r="D26" s="86">
        <v>16935.06</v>
      </c>
      <c r="E26" s="86">
        <f>14029.02-E27</f>
        <v>6582.330000000001</v>
      </c>
      <c r="F26" s="86">
        <f>12203.8/7*12</f>
        <v>20920.8</v>
      </c>
      <c r="G26" s="244">
        <f>63640-G27</f>
        <v>20940</v>
      </c>
      <c r="H26" s="244">
        <f>G26*(1+Parâmetros!F11)*(1+Parâmetros!F12)</f>
        <v>22206.1955226</v>
      </c>
      <c r="I26" s="244">
        <f>H26*(1+Parâmetros!G11)*(1+Parâmetros!G12)</f>
        <v>23505.5555236921</v>
      </c>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row>
    <row r="27" spans="1:177" ht="12.75">
      <c r="A27" s="242" t="s">
        <v>247</v>
      </c>
      <c r="B27" s="243" t="s">
        <v>248</v>
      </c>
      <c r="C27" s="86">
        <v>34123.89</v>
      </c>
      <c r="D27" s="86">
        <f>26639.81-D26</f>
        <v>9704.75</v>
      </c>
      <c r="E27" s="86">
        <v>7446.69</v>
      </c>
      <c r="F27" s="86">
        <f>11213.36/7*12</f>
        <v>19222.902857142857</v>
      </c>
      <c r="G27" s="244">
        <v>42700</v>
      </c>
      <c r="H27" s="244">
        <f>G27*(1+Parâmetros!F11)*(1+Parâmetros!F12)</f>
        <v>45281.974633000005</v>
      </c>
      <c r="I27" s="244">
        <f>H27*(1+Parâmetros!G11)*(1+Parâmetros!G12)</f>
        <v>47931.57692749058</v>
      </c>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row>
    <row r="28" spans="1:177" ht="25.5">
      <c r="A28" s="242" t="s">
        <v>249</v>
      </c>
      <c r="B28" s="243" t="s">
        <v>250</v>
      </c>
      <c r="C28" s="86">
        <v>0</v>
      </c>
      <c r="D28" s="86">
        <v>0</v>
      </c>
      <c r="E28" s="86">
        <v>0</v>
      </c>
      <c r="F28" s="86">
        <v>0</v>
      </c>
      <c r="G28" s="244">
        <f>(((D28*(1+Parâmetros!B11)*(1+Parâmetros!C11)*(1+Parâmetros!D11))+(E28*(1+Parâmetros!C11)*(1+Parâmetros!D11)+(F28*(1+Parâmetros!D11))))/3)*(1+Parâmetros!E11)*(1+Parâmetros!E12)</f>
        <v>0</v>
      </c>
      <c r="H28" s="244">
        <f>G28*(1+Parâmetros!F11)*(1+Parâmetros!F12)</f>
        <v>0</v>
      </c>
      <c r="I28" s="244">
        <f>H28*(1+Parâmetros!G11)*(1+Parâmetros!G12)</f>
        <v>0</v>
      </c>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row>
    <row r="29" spans="1:177" ht="12.75">
      <c r="A29" s="242" t="s">
        <v>251</v>
      </c>
      <c r="B29" s="243" t="s">
        <v>252</v>
      </c>
      <c r="C29" s="86">
        <v>0</v>
      </c>
      <c r="D29" s="86">
        <v>0</v>
      </c>
      <c r="E29" s="86">
        <v>0</v>
      </c>
      <c r="F29" s="86">
        <v>0</v>
      </c>
      <c r="G29" s="244">
        <f>(((D29*(1+Parâmetros!B11)*(1+Parâmetros!C11)*(1+Parâmetros!D11))+(E29*(1+Parâmetros!C11)*(1+Parâmetros!D11)+(F29*(1+Parâmetros!D11))))/3)*(1+Parâmetros!E11)*(1+Parâmetros!E12)</f>
        <v>0</v>
      </c>
      <c r="H29" s="244">
        <f>G29*(1+Parâmetros!F11)*(1+Parâmetros!F12)</f>
        <v>0</v>
      </c>
      <c r="I29" s="244">
        <f>H29*(1+Parâmetros!G11)*(1+Parâmetros!G12)</f>
        <v>0</v>
      </c>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row>
    <row r="30" spans="1:177" ht="12.75">
      <c r="A30" s="242" t="s">
        <v>253</v>
      </c>
      <c r="B30" s="243" t="s">
        <v>254</v>
      </c>
      <c r="C30" s="86">
        <v>521.18</v>
      </c>
      <c r="D30" s="86">
        <v>0</v>
      </c>
      <c r="E30" s="86">
        <v>0</v>
      </c>
      <c r="F30" s="86">
        <v>0</v>
      </c>
      <c r="G30" s="244">
        <f>(((D30*(1+Parâmetros!B11)*(1+Parâmetros!C11)*(1+Parâmetros!D11))+(E30*(1+Parâmetros!C11)*(1+Parâmetros!D11)+(F30*(1+Parâmetros!D11))))/3)*(1+Parâmetros!E11)*(1+Parâmetros!E12)</f>
        <v>0</v>
      </c>
      <c r="H30" s="244">
        <f>G30*(1+Parâmetros!F11)*(1+Parâmetros!F12)</f>
        <v>0</v>
      </c>
      <c r="I30" s="244">
        <f>H30*(1+Parâmetros!G11)*(1+Parâmetros!G12)</f>
        <v>0</v>
      </c>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row>
    <row r="31" spans="1:177" ht="25.5">
      <c r="A31" s="242" t="s">
        <v>255</v>
      </c>
      <c r="B31" s="243" t="s">
        <v>256</v>
      </c>
      <c r="C31" s="86">
        <v>0</v>
      </c>
      <c r="D31" s="86">
        <v>0</v>
      </c>
      <c r="E31" s="86">
        <v>0</v>
      </c>
      <c r="F31" s="86">
        <v>0</v>
      </c>
      <c r="G31" s="244">
        <f>(((D31*(1+Parâmetros!B11)*(1+Parâmetros!C11)*(1+Parâmetros!D11))+(E31*(1+Parâmetros!C11)*(1+Parâmetros!D11)+(F31*(1+Parâmetros!D11))))/3)*(1+Parâmetros!E11)*(1+Parâmetros!E12)</f>
        <v>0</v>
      </c>
      <c r="H31" s="244">
        <f>G31*(1+Parâmetros!F11)*(1+Parâmetros!F12)</f>
        <v>0</v>
      </c>
      <c r="I31" s="244">
        <f>H31*(1+Parâmetros!G11)*(1+Parâmetros!G12)</f>
        <v>0</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row>
    <row r="32" spans="1:177" ht="12.75">
      <c r="A32" s="242" t="s">
        <v>257</v>
      </c>
      <c r="B32" s="243" t="s">
        <v>258</v>
      </c>
      <c r="C32" s="86">
        <v>0</v>
      </c>
      <c r="D32" s="86">
        <v>0</v>
      </c>
      <c r="E32" s="86">
        <v>0</v>
      </c>
      <c r="F32" s="86">
        <v>0</v>
      </c>
      <c r="G32" s="244">
        <f>(((D32*(1+Parâmetros!B11)*(1+Parâmetros!C11)*(1+Parâmetros!D11))+(E32*(1+Parâmetros!C11)*(1+Parâmetros!D11)+(F32*(1+Parâmetros!D11))))/3)*(1+Parâmetros!E11)*(1+Parâmetros!E12)</f>
        <v>0</v>
      </c>
      <c r="H32" s="244">
        <f>G32*(1+Parâmetros!F11)*(1+Parâmetros!F12)</f>
        <v>0</v>
      </c>
      <c r="I32" s="244">
        <f>H32*(1+Parâmetros!G11)*(1+Parâmetros!G12)</f>
        <v>0</v>
      </c>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row>
    <row r="33" spans="1:177" ht="12.75">
      <c r="A33" s="242" t="s">
        <v>259</v>
      </c>
      <c r="B33" s="243" t="s">
        <v>260</v>
      </c>
      <c r="C33" s="86">
        <v>0</v>
      </c>
      <c r="D33" s="86">
        <v>0</v>
      </c>
      <c r="E33" s="86">
        <v>0</v>
      </c>
      <c r="F33" s="86">
        <v>0</v>
      </c>
      <c r="G33" s="244">
        <f>(((D33*(1+Parâmetros!B11)*(1+Parâmetros!C11)*(1+Parâmetros!D11))+(E33*(1+Parâmetros!C11)*(1+Parâmetros!D11)+(F33*(1+Parâmetros!D11))))/3)*(1+Parâmetros!E11)*(1+Parâmetros!E12)</f>
        <v>0</v>
      </c>
      <c r="H33" s="244">
        <f>G33*(1+Parâmetros!F11)*(1+Parâmetros!F12)</f>
        <v>0</v>
      </c>
      <c r="I33" s="244">
        <f>H33*(1+Parâmetros!G11)*(1+Parâmetros!G12)</f>
        <v>0</v>
      </c>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row>
    <row r="34" spans="1:177" ht="12.75">
      <c r="A34" s="242" t="s">
        <v>261</v>
      </c>
      <c r="B34" s="243" t="s">
        <v>262</v>
      </c>
      <c r="C34" s="86">
        <v>0</v>
      </c>
      <c r="D34" s="86">
        <v>0</v>
      </c>
      <c r="E34" s="86">
        <v>0</v>
      </c>
      <c r="F34" s="86">
        <v>0</v>
      </c>
      <c r="G34" s="244">
        <f>(((D34*(1+Parâmetros!B11)*(1+Parâmetros!C11)*(1+Parâmetros!D11))+(E34*(1+Parâmetros!C11)*(1+Parâmetros!D11)+(F34*(1+Parâmetros!D11))))/3)*(1+Parâmetros!E11)*(1+Parâmetros!E12)</f>
        <v>0</v>
      </c>
      <c r="H34" s="244">
        <f>G34*(1+Parâmetros!F11)*(1+Parâmetros!F12)</f>
        <v>0</v>
      </c>
      <c r="I34" s="244">
        <f>H34*(1+Parâmetros!G11)*(1+Parâmetros!G12)</f>
        <v>0</v>
      </c>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row>
    <row r="35" spans="1:177" ht="12.75">
      <c r="A35" s="242" t="s">
        <v>292</v>
      </c>
      <c r="B35" s="243" t="s">
        <v>293</v>
      </c>
      <c r="C35" s="86">
        <v>0</v>
      </c>
      <c r="D35" s="86">
        <v>0</v>
      </c>
      <c r="E35" s="86">
        <v>0</v>
      </c>
      <c r="F35" s="86">
        <v>0</v>
      </c>
      <c r="G35" s="244">
        <f>(((D35*(1+Parâmetros!B11)*(1+Parâmetros!C11)*(1+Parâmetros!D11))+(E35*(1+Parâmetros!C11)*(1+Parâmetros!D11)+(F35*(1+Parâmetros!D11))))/3)*(1+Parâmetros!E11)*(1+Parâmetros!E12)</f>
        <v>0</v>
      </c>
      <c r="H35" s="244">
        <f>G35*(1+Parâmetros!F11)*(1+Parâmetros!F12)</f>
        <v>0</v>
      </c>
      <c r="I35" s="244">
        <f>H35*(1+Parâmetros!G11)*(1+Parâmetros!G12)</f>
        <v>0</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row>
    <row r="36" spans="1:177" s="7" customFormat="1" ht="12.75">
      <c r="A36" s="344" t="s">
        <v>522</v>
      </c>
      <c r="B36" s="345" t="s">
        <v>263</v>
      </c>
      <c r="C36" s="346">
        <f aca="true" t="shared" si="7" ref="C36:I36">C37+C38</f>
        <v>53759.33</v>
      </c>
      <c r="D36" s="346">
        <f t="shared" si="7"/>
        <v>35379.46</v>
      </c>
      <c r="E36" s="346">
        <f t="shared" si="7"/>
        <v>44557.73</v>
      </c>
      <c r="F36" s="346">
        <f t="shared" si="7"/>
        <v>129147.46285714285</v>
      </c>
      <c r="G36" s="346">
        <f t="shared" si="7"/>
        <v>126500</v>
      </c>
      <c r="H36" s="346">
        <f t="shared" si="7"/>
        <v>134149.175435</v>
      </c>
      <c r="I36" s="346">
        <f t="shared" si="7"/>
        <v>141998.69979689832</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row>
    <row r="37" spans="1:177" ht="25.5">
      <c r="A37" s="347" t="s">
        <v>524</v>
      </c>
      <c r="B37" s="243" t="s">
        <v>525</v>
      </c>
      <c r="C37" s="86">
        <v>0</v>
      </c>
      <c r="D37" s="86">
        <v>0</v>
      </c>
      <c r="E37" s="86">
        <v>0</v>
      </c>
      <c r="F37" s="86">
        <v>0</v>
      </c>
      <c r="G37" s="241">
        <f>(((D37*(1+Parâmetros!B11)*(1+Parâmetros!C11)*(1+Parâmetros!D11))+(E37*(1+Parâmetros!C11)*(1+Parâmetros!D11)+(F37*(1+Parâmetros!D11))))/3)*(1+Parâmetros!E11)</f>
        <v>0</v>
      </c>
      <c r="H37" s="244">
        <f>G37*(1+Parâmetros!F11)</f>
        <v>0</v>
      </c>
      <c r="I37" s="244">
        <f>H37*(1+Parâmetros!G11)</f>
        <v>0</v>
      </c>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row>
    <row r="38" spans="1:177" ht="12.75">
      <c r="A38" s="242" t="s">
        <v>522</v>
      </c>
      <c r="B38" s="243" t="s">
        <v>523</v>
      </c>
      <c r="C38" s="86">
        <v>53759.33</v>
      </c>
      <c r="D38" s="86">
        <v>35379.46</v>
      </c>
      <c r="E38" s="86">
        <v>44557.73</v>
      </c>
      <c r="F38" s="86">
        <f>75336.02/7*12</f>
        <v>129147.46285714285</v>
      </c>
      <c r="G38" s="241">
        <v>126500</v>
      </c>
      <c r="H38" s="241">
        <f>G38*(1+Parâmetros!F11)*(1+Parâmetros!F12)</f>
        <v>134149.175435</v>
      </c>
      <c r="I38" s="241">
        <f>H38*(1+Parâmetros!G11)*(1+Parâmetros!G12)</f>
        <v>141998.69979689832</v>
      </c>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row>
    <row r="39" spans="1:177" s="7" customFormat="1" ht="12.75">
      <c r="A39" s="239" t="s">
        <v>264</v>
      </c>
      <c r="B39" s="240" t="s">
        <v>265</v>
      </c>
      <c r="C39" s="241">
        <f aca="true" t="shared" si="8" ref="C39:I39">C40+C51+C61+C62+C63+C64+C65</f>
        <v>18224519.092</v>
      </c>
      <c r="D39" s="241">
        <f t="shared" si="8"/>
        <v>19901724.549999997</v>
      </c>
      <c r="E39" s="241">
        <f t="shared" si="8"/>
        <v>21401093.029999997</v>
      </c>
      <c r="F39" s="241">
        <f t="shared" si="8"/>
        <v>23697280.234285712</v>
      </c>
      <c r="G39" s="241">
        <f t="shared" si="8"/>
        <v>24190370</v>
      </c>
      <c r="H39" s="241">
        <f t="shared" si="8"/>
        <v>26644803.466307554</v>
      </c>
      <c r="I39" s="241">
        <f t="shared" si="8"/>
        <v>28723043.990150005</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row>
    <row r="40" spans="1:177" s="7" customFormat="1" ht="12.75">
      <c r="A40" s="239" t="s">
        <v>266</v>
      </c>
      <c r="B40" s="240" t="s">
        <v>267</v>
      </c>
      <c r="C40" s="241">
        <f aca="true" t="shared" si="9" ref="C40:I40">C41+C42+C43+C44+C45+C46+C47+C48+C49+C50</f>
        <v>9884149.932</v>
      </c>
      <c r="D40" s="241">
        <f t="shared" si="9"/>
        <v>10985498.32</v>
      </c>
      <c r="E40" s="241">
        <f t="shared" si="9"/>
        <v>12071691.06</v>
      </c>
      <c r="F40" s="241">
        <f t="shared" si="9"/>
        <v>12676479.365714286</v>
      </c>
      <c r="G40" s="241">
        <f t="shared" si="9"/>
        <v>13278404</v>
      </c>
      <c r="H40" s="241">
        <f t="shared" si="9"/>
        <v>14575733.30307284</v>
      </c>
      <c r="I40" s="241">
        <f t="shared" si="9"/>
        <v>15094839.724426113</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row>
    <row r="41" spans="1:177" ht="12.75">
      <c r="A41" s="242" t="s">
        <v>268</v>
      </c>
      <c r="B41" s="243" t="s">
        <v>269</v>
      </c>
      <c r="C41" s="86">
        <v>7413358.43</v>
      </c>
      <c r="D41" s="86">
        <v>8037132.55</v>
      </c>
      <c r="E41" s="86">
        <v>7654273.71</v>
      </c>
      <c r="F41" s="86">
        <f>5925499.19/7*12</f>
        <v>10157998.611428572</v>
      </c>
      <c r="G41" s="244">
        <v>10600000</v>
      </c>
      <c r="H41" s="244">
        <f>G41*(1+Parâmetros!F11)*(1+Parâmetros!F16)</f>
        <v>11710352.258263774</v>
      </c>
      <c r="I41" s="244">
        <f>H41*(1+Parâmetros!G11)*(1+Parâmetros!G16)</f>
        <v>13017381.643809455</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row>
    <row r="42" spans="1:177" ht="25.5">
      <c r="A42" s="242" t="s">
        <v>270</v>
      </c>
      <c r="B42" s="243" t="s">
        <v>271</v>
      </c>
      <c r="C42" s="86">
        <v>329256.07</v>
      </c>
      <c r="D42" s="86">
        <v>354693.52</v>
      </c>
      <c r="E42" s="86">
        <v>344445.14</v>
      </c>
      <c r="F42" s="86">
        <v>374000</v>
      </c>
      <c r="G42" s="244">
        <v>447000</v>
      </c>
      <c r="H42" s="244">
        <f>G42*(1+Parâmetros!F11)*(1+Parâmetros!F16)</f>
        <v>493823.34523055726</v>
      </c>
      <c r="I42" s="244">
        <f>H42*(1+Parâmetros!G11)*(1+Parâmetros!G16)</f>
        <v>548940.5278097006</v>
      </c>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row>
    <row r="43" spans="1:177" ht="25.5">
      <c r="A43" s="242" t="s">
        <v>272</v>
      </c>
      <c r="B43" s="243" t="s">
        <v>273</v>
      </c>
      <c r="C43" s="86">
        <v>321239.56</v>
      </c>
      <c r="D43" s="86">
        <v>341589.25</v>
      </c>
      <c r="E43" s="86">
        <v>345179.5</v>
      </c>
      <c r="F43" s="86">
        <v>399571.6</v>
      </c>
      <c r="G43" s="244">
        <v>422000</v>
      </c>
      <c r="H43" s="244">
        <f>G43*(1+Parâmetros!F11)*(1+Parâmetros!F16)</f>
        <v>466204.58990446344</v>
      </c>
      <c r="I43" s="244">
        <f>H43*(1+Parâmetros!G11)*(1+Parâmetros!G16)</f>
        <v>518239.15600826323</v>
      </c>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row>
    <row r="44" spans="1:177" ht="12.75">
      <c r="A44" s="242" t="s">
        <v>274</v>
      </c>
      <c r="B44" s="243" t="s">
        <v>275</v>
      </c>
      <c r="C44" s="86">
        <v>231097.95</v>
      </c>
      <c r="D44" s="86">
        <v>270900.59</v>
      </c>
      <c r="E44" s="86">
        <v>256535.38</v>
      </c>
      <c r="F44" s="86">
        <v>250000</v>
      </c>
      <c r="G44" s="244">
        <v>250000</v>
      </c>
      <c r="H44" s="244">
        <f>G44*(1+Parâmetros!F11)*(1+Parâmetros!F16)</f>
        <v>276187.5532609381</v>
      </c>
      <c r="I44" s="244">
        <f>H44*(1+Parâmetros!G11)*(1+Parâmetros!G16)</f>
        <v>307013.71801437397</v>
      </c>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row>
    <row r="45" spans="1:177" ht="25.5">
      <c r="A45" s="242" t="s">
        <v>276</v>
      </c>
      <c r="B45" s="243" t="s">
        <v>277</v>
      </c>
      <c r="C45" s="86">
        <v>123324.332</v>
      </c>
      <c r="D45" s="86">
        <v>123843.64</v>
      </c>
      <c r="E45" s="86">
        <v>151440.38</v>
      </c>
      <c r="F45" s="86">
        <f>120773.92/7*12</f>
        <v>207041.0057142857</v>
      </c>
      <c r="G45" s="244">
        <v>231000</v>
      </c>
      <c r="H45" s="244">
        <f>G45*(1+Parâmetros!F11)*(1+Parâmetros!F16)</f>
        <v>255197.29921310674</v>
      </c>
      <c r="I45" s="244">
        <f>H45*(1+Parâmetros!G11)*(1+Parâmetros!G16)</f>
        <v>283680.6754452815</v>
      </c>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row>
    <row r="46" spans="1:177" ht="25.5">
      <c r="A46" s="242" t="s">
        <v>278</v>
      </c>
      <c r="B46" s="243" t="s">
        <v>279</v>
      </c>
      <c r="C46" s="86">
        <v>988946.32</v>
      </c>
      <c r="D46" s="86">
        <v>925527.74</v>
      </c>
      <c r="E46" s="86">
        <v>1321525.36</v>
      </c>
      <c r="F46" s="86">
        <f>515104.62/7*12</f>
        <v>883036.4914285713</v>
      </c>
      <c r="G46" s="244">
        <v>784004</v>
      </c>
      <c r="H46" s="244">
        <f>G46*(1+Parâmetros!F11)</f>
        <v>810895.3372</v>
      </c>
      <c r="I46" s="244">
        <f>H46*(1+Parâmetros!G11)</f>
        <v>837817.0623950398</v>
      </c>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row>
    <row r="47" spans="1:177" ht="25.5">
      <c r="A47" s="242" t="s">
        <v>280</v>
      </c>
      <c r="B47" s="243" t="s">
        <v>281</v>
      </c>
      <c r="C47" s="86">
        <v>144663.02</v>
      </c>
      <c r="D47" s="86">
        <v>250977.85</v>
      </c>
      <c r="E47" s="86">
        <v>278319.48</v>
      </c>
      <c r="F47" s="86">
        <f>44422.78/7*12</f>
        <v>76153.33714285714</v>
      </c>
      <c r="G47" s="244">
        <v>214700</v>
      </c>
      <c r="H47" s="244">
        <f>G47*(1+Parâmetros!F11)</f>
        <v>222064.21</v>
      </c>
      <c r="I47" s="244">
        <f>H47*(1+Parâmetros!G11)</f>
        <v>229436.74177199998</v>
      </c>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row>
    <row r="48" spans="1:177" ht="25.5">
      <c r="A48" s="242" t="s">
        <v>282</v>
      </c>
      <c r="B48" s="243" t="s">
        <v>283</v>
      </c>
      <c r="C48" s="86">
        <v>303452.81</v>
      </c>
      <c r="D48" s="86">
        <v>260582.35</v>
      </c>
      <c r="E48" s="86">
        <v>257492.6</v>
      </c>
      <c r="F48" s="86">
        <f>160202.49/7*12</f>
        <v>274632.83999999997</v>
      </c>
      <c r="G48" s="244">
        <v>329700</v>
      </c>
      <c r="H48" s="244">
        <f>G48*(1+Parâmetros!F11)</f>
        <v>341008.71</v>
      </c>
      <c r="I48" s="244">
        <f>H48*(1+Parâmetros!G11)</f>
        <v>352330.199172</v>
      </c>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row>
    <row r="49" spans="1:177" ht="12.75">
      <c r="A49" s="242" t="s">
        <v>284</v>
      </c>
      <c r="B49" s="243" t="s">
        <v>285</v>
      </c>
      <c r="C49" s="86">
        <v>28811.44</v>
      </c>
      <c r="D49" s="86">
        <v>0</v>
      </c>
      <c r="E49" s="86">
        <f>D49*2%+D49</f>
        <v>0</v>
      </c>
      <c r="F49" s="86">
        <f>E49*2%+E49</f>
        <v>0</v>
      </c>
      <c r="G49" s="244">
        <f>(((D49*(1+Parâmetros!B11)*(1+Parâmetros!C11)*(1+Parâmetros!D11))+(E49*(1+Parâmetros!C11)*(1+Parâmetros!D11)+(F49*(1+Parâmetros!D11))))/3)*(1+Parâmetros!E11)*(1+Parâmetros!E16)</f>
        <v>0</v>
      </c>
      <c r="H49" s="244">
        <f>G49*(1+Parâmetros!F11)*(1+Parâmetros!F16)</f>
        <v>0</v>
      </c>
      <c r="I49" s="244">
        <f>H49*(1+Parâmetros!G11)*(1+Parâmetros!G16)</f>
        <v>0</v>
      </c>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row>
    <row r="50" spans="1:177" ht="12.75">
      <c r="A50" s="242" t="s">
        <v>286</v>
      </c>
      <c r="B50" s="243" t="s">
        <v>287</v>
      </c>
      <c r="C50" s="86">
        <v>0</v>
      </c>
      <c r="D50" s="86">
        <v>420250.83</v>
      </c>
      <c r="E50" s="86">
        <v>1462479.51</v>
      </c>
      <c r="F50" s="86">
        <f>31526.53/7*12</f>
        <v>54045.479999999996</v>
      </c>
      <c r="G50" s="244">
        <v>0</v>
      </c>
      <c r="H50" s="244">
        <f>G50*(1+Parâmetros!F11)</f>
        <v>0</v>
      </c>
      <c r="I50" s="244">
        <f>H50*(1+Parâmetros!G11)+-1000000</f>
        <v>-1000000</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row>
    <row r="51" spans="1:177" s="7" customFormat="1" ht="25.5">
      <c r="A51" s="239" t="s">
        <v>288</v>
      </c>
      <c r="B51" s="240" t="s">
        <v>289</v>
      </c>
      <c r="C51" s="241">
        <f aca="true" t="shared" si="10" ref="C51:I51">C52+C53+C54+C55+C56+C57+C58+C59+C60</f>
        <v>6260737.43</v>
      </c>
      <c r="D51" s="241">
        <f t="shared" si="10"/>
        <v>6598359.5</v>
      </c>
      <c r="E51" s="241">
        <f t="shared" si="10"/>
        <v>6822888.119999999</v>
      </c>
      <c r="F51" s="241">
        <f t="shared" si="10"/>
        <v>7823465.742857143</v>
      </c>
      <c r="G51" s="241">
        <f t="shared" si="10"/>
        <v>7608966</v>
      </c>
      <c r="H51" s="241">
        <f t="shared" si="10"/>
        <v>8428745.58575558</v>
      </c>
      <c r="I51" s="241">
        <f t="shared" si="10"/>
        <v>9591547.20510106</v>
      </c>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row>
    <row r="52" spans="1:177" ht="12.75">
      <c r="A52" s="242" t="s">
        <v>290</v>
      </c>
      <c r="B52" s="243" t="s">
        <v>291</v>
      </c>
      <c r="C52" s="86">
        <v>5177069.06</v>
      </c>
      <c r="D52" s="86">
        <v>5330704.01</v>
      </c>
      <c r="E52" s="86">
        <v>5614925.61</v>
      </c>
      <c r="F52" s="86">
        <f>3980577.54/7*12</f>
        <v>6823847.2114285715</v>
      </c>
      <c r="G52" s="244">
        <v>6530000</v>
      </c>
      <c r="H52" s="244">
        <f>G52*(1+Parâmetros!F11)*(1+Parâmetros!F17)</f>
        <v>7266035.1464033015</v>
      </c>
      <c r="I52" s="244">
        <f>H52*(1+Parâmetros!G11)*(1+Parâmetros!G17)</f>
        <v>8316385.706684678</v>
      </c>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row>
    <row r="53" spans="1:177" ht="12.75">
      <c r="A53" s="242" t="s">
        <v>294</v>
      </c>
      <c r="B53" s="243" t="s">
        <v>295</v>
      </c>
      <c r="C53" s="86">
        <v>412551.29</v>
      </c>
      <c r="D53" s="86">
        <v>421261.94</v>
      </c>
      <c r="E53" s="86">
        <v>462619.23</v>
      </c>
      <c r="F53" s="86">
        <f>397513.91/7*12</f>
        <v>681452.4171428571</v>
      </c>
      <c r="G53" s="244">
        <v>510000</v>
      </c>
      <c r="H53" s="244">
        <f>G53*(1+Parâmetros!F11)*(1+Parâmetros!F17)</f>
        <v>567485.1339457403</v>
      </c>
      <c r="I53" s="244">
        <f>H53*(1+Parâmetros!G11)*(1+Parâmetros!G17)</f>
        <v>649518.6386537805</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row>
    <row r="54" spans="1:177" ht="12.75">
      <c r="A54" s="242" t="s">
        <v>296</v>
      </c>
      <c r="B54" s="243" t="s">
        <v>297</v>
      </c>
      <c r="C54" s="86">
        <v>75712.21</v>
      </c>
      <c r="D54" s="86">
        <v>79047.57</v>
      </c>
      <c r="E54" s="86">
        <v>80058.56</v>
      </c>
      <c r="F54" s="86">
        <f>44935.32/7*12</f>
        <v>77031.97714285714</v>
      </c>
      <c r="G54" s="244">
        <v>80000</v>
      </c>
      <c r="H54" s="244">
        <f>G54*(1+Parâmetros!F11)*(1+Parâmetros!F17)</f>
        <v>89017.2759130573</v>
      </c>
      <c r="I54" s="244">
        <f>H54*(1+Parâmetros!G11)*(1+Parâmetros!G17)</f>
        <v>101885.2766515734</v>
      </c>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row>
    <row r="55" spans="1:177" ht="12.75">
      <c r="A55" s="242" t="s">
        <v>298</v>
      </c>
      <c r="B55" s="243" t="s">
        <v>299</v>
      </c>
      <c r="C55" s="86">
        <v>14932.52</v>
      </c>
      <c r="D55" s="86">
        <v>8888.55</v>
      </c>
      <c r="E55" s="86">
        <v>7501.3</v>
      </c>
      <c r="F55" s="86">
        <f>2975.9/7*12</f>
        <v>5101.542857142857</v>
      </c>
      <c r="G55" s="244">
        <v>6000</v>
      </c>
      <c r="H55" s="244">
        <f>G55*(1+Parâmetros!F11)*(1+Parâmetros!F17)</f>
        <v>6676.295693479297</v>
      </c>
      <c r="I55" s="244">
        <f>H55*(1+Parâmetros!G11)*(1+Parâmetros!G17)</f>
        <v>7641.395748868004</v>
      </c>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row>
    <row r="56" spans="1:177" ht="12.75">
      <c r="A56" s="242" t="s">
        <v>300</v>
      </c>
      <c r="B56" s="243" t="s">
        <v>301</v>
      </c>
      <c r="C56" s="86">
        <v>0</v>
      </c>
      <c r="D56" s="86">
        <v>0</v>
      </c>
      <c r="E56" s="86">
        <v>0</v>
      </c>
      <c r="F56" s="86">
        <v>0</v>
      </c>
      <c r="G56" s="244">
        <f>(((D56*(1+Parâmetros!B11)*(1+Parâmetros!C11)*(1+Parâmetros!D11))+(E56*(1+Parâmetros!C11)*(1+Parâmetros!D11)+(F56*(1+Parâmetros!D11))))/3)*(1+Parâmetros!E11)</f>
        <v>0</v>
      </c>
      <c r="H56" s="244">
        <f>G56*(1+Parâmetros!F11)</f>
        <v>0</v>
      </c>
      <c r="I56" s="244">
        <f>H56*(1+Parâmetros!G11)</f>
        <v>0</v>
      </c>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row>
    <row r="57" spans="1:177" ht="12.75">
      <c r="A57" s="242" t="s">
        <v>302</v>
      </c>
      <c r="B57" s="243" t="s">
        <v>303</v>
      </c>
      <c r="C57" s="86">
        <v>0</v>
      </c>
      <c r="D57" s="86">
        <v>0</v>
      </c>
      <c r="E57" s="86">
        <v>0</v>
      </c>
      <c r="F57" s="86">
        <v>0</v>
      </c>
      <c r="G57" s="244">
        <f>(((D57*(1+Parâmetros!B11)*(1+Parâmetros!C11)*(1+Parâmetros!D11))+(E57*(1+Parâmetros!C11)*(1+Parâmetros!D11)+(F57*(1+Parâmetros!D11))))/3)*(1+Parâmetros!E11)</f>
        <v>0</v>
      </c>
      <c r="H57" s="244">
        <f>G57*(1+Parâmetros!F11)</f>
        <v>0</v>
      </c>
      <c r="I57" s="244">
        <f>H57*(1+Parâmetros!G11)</f>
        <v>0</v>
      </c>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row>
    <row r="58" spans="1:177" ht="25.5">
      <c r="A58" s="242" t="s">
        <v>304</v>
      </c>
      <c r="B58" s="243" t="s">
        <v>305</v>
      </c>
      <c r="C58" s="86">
        <v>333684.82</v>
      </c>
      <c r="D58" s="86">
        <v>366687.3</v>
      </c>
      <c r="E58" s="86">
        <v>440794.22</v>
      </c>
      <c r="F58" s="86">
        <f>37488.29/7*12</f>
        <v>64265.64</v>
      </c>
      <c r="G58" s="244">
        <v>340566</v>
      </c>
      <c r="H58" s="244">
        <f>G58*(1+Parâmetros!F11)</f>
        <v>352247.4138</v>
      </c>
      <c r="I58" s="244">
        <f>H58*(1+Parâmetros!G11)</f>
        <v>363942.02793815994</v>
      </c>
      <c r="J58" s="87"/>
      <c r="K58" s="87"/>
      <c r="L58" s="488">
        <f>D8-D103</f>
        <v>24179704.621999998</v>
      </c>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row>
    <row r="59" spans="1:177" ht="25.5">
      <c r="A59" s="242" t="s">
        <v>306</v>
      </c>
      <c r="B59" s="243" t="s">
        <v>307</v>
      </c>
      <c r="C59" s="86">
        <v>4058.09</v>
      </c>
      <c r="D59" s="86">
        <v>327835.55</v>
      </c>
      <c r="E59" s="86">
        <v>168811.98</v>
      </c>
      <c r="F59" s="86">
        <f>100000/7*12</f>
        <v>171428.57142857142</v>
      </c>
      <c r="G59" s="244">
        <v>142200</v>
      </c>
      <c r="H59" s="244">
        <f>G59*(1+Parâmetros!F11)</f>
        <v>147077.46</v>
      </c>
      <c r="I59" s="244">
        <f>H59*(1+Parâmetros!G11)</f>
        <v>151960.43167199998</v>
      </c>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row>
    <row r="60" spans="1:177" ht="12.75">
      <c r="A60" s="242" t="s">
        <v>308</v>
      </c>
      <c r="B60" s="243" t="s">
        <v>303</v>
      </c>
      <c r="C60" s="86">
        <v>242729.44</v>
      </c>
      <c r="D60" s="86">
        <v>63934.58</v>
      </c>
      <c r="E60" s="86">
        <v>48177.22</v>
      </c>
      <c r="F60" s="86">
        <f>197.39/7*12</f>
        <v>338.3828571428571</v>
      </c>
      <c r="G60" s="244">
        <v>200</v>
      </c>
      <c r="H60" s="244">
        <f>G60*(1+Parâmetros!F11)</f>
        <v>206.86</v>
      </c>
      <c r="I60" s="244">
        <f>H60*(1+Parâmetros!G11)</f>
        <v>213.72775199999998</v>
      </c>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row>
    <row r="61" spans="1:177" ht="12.75">
      <c r="A61" s="242" t="s">
        <v>309</v>
      </c>
      <c r="B61" s="243" t="s">
        <v>310</v>
      </c>
      <c r="C61" s="86">
        <v>8367.56</v>
      </c>
      <c r="D61" s="86">
        <v>50205.36</v>
      </c>
      <c r="E61" s="86">
        <v>103683.64</v>
      </c>
      <c r="F61" s="86">
        <f>43088.92/7*12</f>
        <v>73866.72</v>
      </c>
      <c r="G61" s="244">
        <v>74400</v>
      </c>
      <c r="H61" s="244">
        <f>G61*(1+Parâmetros!F11)</f>
        <v>76951.92</v>
      </c>
      <c r="I61" s="244">
        <f>H61*(1+Parâmetros!G11)</f>
        <v>79506.72374399999</v>
      </c>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row>
    <row r="62" spans="1:177" ht="12.75">
      <c r="A62" s="242" t="s">
        <v>311</v>
      </c>
      <c r="B62" s="243" t="s">
        <v>312</v>
      </c>
      <c r="C62" s="86">
        <v>0</v>
      </c>
      <c r="D62" s="86">
        <v>8392.04</v>
      </c>
      <c r="E62" s="86">
        <v>10197.24</v>
      </c>
      <c r="F62" s="86">
        <f>8702.03/7*12</f>
        <v>14917.765714285713</v>
      </c>
      <c r="G62" s="244">
        <v>28600</v>
      </c>
      <c r="H62" s="244">
        <f>G62*(1+Parâmetros!F11)</f>
        <v>29580.98</v>
      </c>
      <c r="I62" s="244">
        <f>H62*(1+Parâmetros!G11)</f>
        <v>30563.068535999995</v>
      </c>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row>
    <row r="63" spans="1:177" ht="12.75">
      <c r="A63" s="242" t="s">
        <v>405</v>
      </c>
      <c r="B63" s="243" t="s">
        <v>406</v>
      </c>
      <c r="C63" s="86">
        <v>2071264.17</v>
      </c>
      <c r="D63" s="86">
        <v>2259269.33</v>
      </c>
      <c r="E63" s="86">
        <v>2392632.97</v>
      </c>
      <c r="F63" s="86">
        <f>1801654.54/7*12</f>
        <v>3088550.64</v>
      </c>
      <c r="G63" s="244">
        <v>3180000</v>
      </c>
      <c r="H63" s="244">
        <f>G63*(1+Parâmetros!F11)*(1+Parâmetros!F16)</f>
        <v>3513105.677479132</v>
      </c>
      <c r="I63" s="244">
        <f>H63*(1+Parâmetros!G11)*(1+Parâmetros!G16)</f>
        <v>3905214.4931428367</v>
      </c>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row>
    <row r="64" spans="1:177" ht="12.75">
      <c r="A64" s="242" t="s">
        <v>314</v>
      </c>
      <c r="B64" s="243" t="s">
        <v>315</v>
      </c>
      <c r="C64" s="86">
        <v>0</v>
      </c>
      <c r="D64" s="86">
        <v>0</v>
      </c>
      <c r="E64" s="86">
        <v>0</v>
      </c>
      <c r="F64" s="86">
        <v>0</v>
      </c>
      <c r="G64" s="244">
        <f>(((D64*(1+Parâmetros!B11)*(1+Parâmetros!C11)*(1+Parâmetros!D11))+(E64*(1+Parâmetros!C11)*(1+Parâmetros!D11)+(F64*(1+Parâmetros!D11))))/3)*(1+Parâmetros!E11)</f>
        <v>0</v>
      </c>
      <c r="H64" s="244">
        <f>G64*(1+Parâmetros!F11)</f>
        <v>0</v>
      </c>
      <c r="I64" s="244">
        <f>H64*(1+Parâmetros!G11)</f>
        <v>0</v>
      </c>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row>
    <row r="65" spans="1:177" ht="12.75">
      <c r="A65" s="242" t="s">
        <v>316</v>
      </c>
      <c r="B65" s="243" t="s">
        <v>317</v>
      </c>
      <c r="C65" s="86">
        <v>0</v>
      </c>
      <c r="D65" s="86">
        <v>0</v>
      </c>
      <c r="E65" s="86">
        <v>0</v>
      </c>
      <c r="F65" s="86">
        <v>20000</v>
      </c>
      <c r="G65" s="244">
        <v>20000</v>
      </c>
      <c r="H65" s="244">
        <f>G65*(1+Parâmetros!F11)</f>
        <v>20686</v>
      </c>
      <c r="I65" s="244">
        <f>H65*(1+Parâmetros!G11)</f>
        <v>21372.775199999996</v>
      </c>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row>
    <row r="66" spans="1:177" s="7" customFormat="1" ht="12.75">
      <c r="A66" s="239" t="s">
        <v>318</v>
      </c>
      <c r="B66" s="240" t="s">
        <v>319</v>
      </c>
      <c r="C66" s="241">
        <f aca="true" t="shared" si="11" ref="C66:I66">C67+C68+C71</f>
        <v>30194.769999999997</v>
      </c>
      <c r="D66" s="241">
        <f t="shared" si="11"/>
        <v>169202.42</v>
      </c>
      <c r="E66" s="241">
        <f t="shared" si="11"/>
        <v>13682.83</v>
      </c>
      <c r="F66" s="241">
        <f t="shared" si="11"/>
        <v>103825.2</v>
      </c>
      <c r="G66" s="241">
        <f t="shared" si="11"/>
        <v>80500</v>
      </c>
      <c r="H66" s="241">
        <f t="shared" si="11"/>
        <v>66712.35</v>
      </c>
      <c r="I66" s="241">
        <f t="shared" si="11"/>
        <v>68927.20002</v>
      </c>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3"/>
      <c r="FU66" s="83"/>
    </row>
    <row r="67" spans="1:177" ht="12.75">
      <c r="A67" s="242" t="s">
        <v>320</v>
      </c>
      <c r="B67" s="243" t="s">
        <v>321</v>
      </c>
      <c r="C67" s="86">
        <v>0</v>
      </c>
      <c r="D67" s="86">
        <v>0</v>
      </c>
      <c r="E67" s="86">
        <v>0</v>
      </c>
      <c r="F67" s="86">
        <v>0</v>
      </c>
      <c r="G67" s="244">
        <f>(((D67*(1+Parâmetros!B11)*(1+Parâmetros!C11)*(1+Parâmetros!D11))+(E67*(1+Parâmetros!C11)*(1+Parâmetros!D11)+(F67*(1+Parâmetros!D11))))/3)*(1+Parâmetros!E11)</f>
        <v>0</v>
      </c>
      <c r="H67" s="244">
        <f>G67*(1+Parâmetros!F11)</f>
        <v>0</v>
      </c>
      <c r="I67" s="244">
        <f>H67*(1+Parâmetros!G11)</f>
        <v>0</v>
      </c>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row>
    <row r="68" spans="1:177" ht="12.75">
      <c r="A68" s="348" t="s">
        <v>322</v>
      </c>
      <c r="B68" s="349" t="s">
        <v>323</v>
      </c>
      <c r="C68" s="350">
        <f aca="true" t="shared" si="12" ref="C68:I68">C69+C70</f>
        <v>29299.01</v>
      </c>
      <c r="D68" s="350">
        <f t="shared" si="12"/>
        <v>169018.19</v>
      </c>
      <c r="E68" s="350">
        <f t="shared" si="12"/>
        <v>12709.43</v>
      </c>
      <c r="F68" s="350">
        <f t="shared" si="12"/>
        <v>93313.81714285714</v>
      </c>
      <c r="G68" s="350">
        <f t="shared" si="12"/>
        <v>64500</v>
      </c>
      <c r="H68" s="350">
        <f t="shared" si="12"/>
        <v>66712.35</v>
      </c>
      <c r="I68" s="350">
        <f t="shared" si="12"/>
        <v>68927.20002</v>
      </c>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row>
    <row r="69" spans="1:177" ht="12.75">
      <c r="A69" s="242" t="s">
        <v>526</v>
      </c>
      <c r="B69" s="243" t="s">
        <v>527</v>
      </c>
      <c r="C69" s="86">
        <v>0</v>
      </c>
      <c r="D69" s="86">
        <v>0</v>
      </c>
      <c r="E69" s="86">
        <v>0</v>
      </c>
      <c r="F69" s="86">
        <v>0</v>
      </c>
      <c r="G69" s="350">
        <f>(((D69*(1+Parâmetros!B11)*(1+Parâmetros!C11)*(1+Parâmetros!D11))+(E69*(1+Parâmetros!C11)*(1+Parâmetros!D11)+(F69*(1+Parâmetros!D11))))/3)*(1+Parâmetros!E11)</f>
        <v>0</v>
      </c>
      <c r="H69" s="350">
        <f>G69*(1+Parâmetros!F11)</f>
        <v>0</v>
      </c>
      <c r="I69" s="350">
        <f>H69*(1+Parâmetros!G11)</f>
        <v>0</v>
      </c>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row>
    <row r="70" spans="1:177" ht="12.75">
      <c r="A70" s="242" t="s">
        <v>528</v>
      </c>
      <c r="B70" s="243" t="s">
        <v>529</v>
      </c>
      <c r="C70" s="86">
        <v>29299.01</v>
      </c>
      <c r="D70" s="86">
        <v>169018.19</v>
      </c>
      <c r="E70" s="86">
        <v>12709.43</v>
      </c>
      <c r="F70" s="86">
        <f>54433.06/7*12</f>
        <v>93313.81714285714</v>
      </c>
      <c r="G70" s="350">
        <v>64500</v>
      </c>
      <c r="H70" s="350">
        <f>G70*(1+Parâmetros!F11)</f>
        <v>66712.35</v>
      </c>
      <c r="I70" s="350">
        <f>H70*(1+Parâmetros!G11)</f>
        <v>68927.20002</v>
      </c>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row>
    <row r="71" spans="1:177" s="7" customFormat="1" ht="12.75">
      <c r="A71" s="239" t="s">
        <v>324</v>
      </c>
      <c r="B71" s="240" t="s">
        <v>325</v>
      </c>
      <c r="C71" s="241">
        <f aca="true" t="shared" si="13" ref="C71:I71">C72+C73+C74+C75+C76+C77</f>
        <v>895.76</v>
      </c>
      <c r="D71" s="241">
        <f t="shared" si="13"/>
        <v>184.23</v>
      </c>
      <c r="E71" s="241">
        <f t="shared" si="13"/>
        <v>973.4</v>
      </c>
      <c r="F71" s="241">
        <f t="shared" si="13"/>
        <v>10511.382857142857</v>
      </c>
      <c r="G71" s="241">
        <v>16000</v>
      </c>
      <c r="H71" s="241">
        <f t="shared" si="13"/>
        <v>0</v>
      </c>
      <c r="I71" s="241">
        <f t="shared" si="13"/>
        <v>0</v>
      </c>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row>
    <row r="72" spans="1:177" ht="25.5">
      <c r="A72" s="242" t="s">
        <v>326</v>
      </c>
      <c r="B72" s="243" t="s">
        <v>327</v>
      </c>
      <c r="C72" s="86">
        <v>0</v>
      </c>
      <c r="D72" s="86">
        <v>0</v>
      </c>
      <c r="E72" s="86">
        <v>0</v>
      </c>
      <c r="F72" s="86">
        <v>0</v>
      </c>
      <c r="G72" s="244">
        <f>(((D72*(1+Parâmetros!B11)*(1+Parâmetros!C11)*(1+Parâmetros!D11))+(E72*(1+Parâmetros!C11)*(1+Parâmetros!D11)+(F72*(1+Parâmetros!D11))))/3)*(1+Parâmetros!E11)</f>
        <v>0</v>
      </c>
      <c r="H72" s="244">
        <f>G72*(1+Parâmetros!F11)</f>
        <v>0</v>
      </c>
      <c r="I72" s="244">
        <f>H72*(1+Parâmetros!G11)</f>
        <v>0</v>
      </c>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row>
    <row r="73" spans="1:177" ht="12.75">
      <c r="A73" s="242" t="s">
        <v>328</v>
      </c>
      <c r="B73" s="243" t="s">
        <v>329</v>
      </c>
      <c r="C73" s="86">
        <v>0</v>
      </c>
      <c r="D73" s="86">
        <v>0</v>
      </c>
      <c r="E73" s="86">
        <v>0</v>
      </c>
      <c r="F73" s="86">
        <v>0</v>
      </c>
      <c r="G73" s="244">
        <f>(((D73*(1+Parâmetros!B11)*(1+Parâmetros!C11)*(1+Parâmetros!D11))+(E73*(1+Parâmetros!C11)*(1+Parâmetros!D11)+(F73*(1+Parâmetros!D11))))/3)*(1+Parâmetros!E11)</f>
        <v>0</v>
      </c>
      <c r="H73" s="244">
        <f>G73*(1+Parâmetros!F11)</f>
        <v>0</v>
      </c>
      <c r="I73" s="244">
        <f>H73*(1+Parâmetros!G11)</f>
        <v>0</v>
      </c>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row>
    <row r="74" spans="1:177" ht="12.75">
      <c r="A74" s="242" t="s">
        <v>530</v>
      </c>
      <c r="B74" s="243" t="s">
        <v>531</v>
      </c>
      <c r="C74" s="86">
        <v>0</v>
      </c>
      <c r="D74" s="86">
        <v>0</v>
      </c>
      <c r="E74" s="86">
        <v>0</v>
      </c>
      <c r="F74" s="86">
        <v>0</v>
      </c>
      <c r="G74" s="244">
        <f>((C74+D74+E74+F74)/4)/Parâmetros!D22*Parâmetros!E22</f>
        <v>0</v>
      </c>
      <c r="H74" s="244">
        <f>((D74+E74+F74+G74)/4)/Parâmetros!E22*Parâmetros!F22</f>
        <v>0</v>
      </c>
      <c r="I74" s="244">
        <f>((E74+F74+G74+H74)/4)/Parâmetros!F22*Parâmetros!G22</f>
        <v>0</v>
      </c>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row>
    <row r="75" spans="1:177" ht="25.5">
      <c r="A75" s="242" t="s">
        <v>330</v>
      </c>
      <c r="B75" s="243" t="s">
        <v>331</v>
      </c>
      <c r="C75" s="86">
        <v>0</v>
      </c>
      <c r="D75" s="86">
        <v>0</v>
      </c>
      <c r="E75" s="86">
        <v>0</v>
      </c>
      <c r="F75" s="86">
        <v>0</v>
      </c>
      <c r="G75" s="244">
        <f>(((D75*(1+Parâmetros!B11)*(1+Parâmetros!C11)*(1+Parâmetros!D11))+(E75*(1+Parâmetros!C11)*(1+Parâmetros!D11)+(F75*(1+Parâmetros!D11))))/3)*(1+Parâmetros!E11)</f>
        <v>0</v>
      </c>
      <c r="H75" s="244">
        <f>G75*(1+Parâmetros!F11)</f>
        <v>0</v>
      </c>
      <c r="I75" s="244">
        <f>H75*(1+Parâmetros!G11)</f>
        <v>0</v>
      </c>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row>
    <row r="76" spans="1:177" ht="12.75">
      <c r="A76" s="242" t="s">
        <v>532</v>
      </c>
      <c r="B76" s="243" t="s">
        <v>533</v>
      </c>
      <c r="C76" s="86">
        <v>0</v>
      </c>
      <c r="D76" s="86">
        <v>0</v>
      </c>
      <c r="E76" s="86">
        <v>0</v>
      </c>
      <c r="F76" s="86">
        <v>0</v>
      </c>
      <c r="G76" s="244">
        <f>((C76+D76+E76+F76)/4)*(1+Parâmetros!E11)</f>
        <v>0</v>
      </c>
      <c r="H76" s="244">
        <f>((D76+E76+F76+G76)/4)*(1+Parâmetros!F11)</f>
        <v>0</v>
      </c>
      <c r="I76" s="244">
        <f>((E76+F76+G76+H76)/4)*(1+Parâmetros!G11)</f>
        <v>0</v>
      </c>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row>
    <row r="77" spans="1:177" ht="12.75">
      <c r="A77" s="242" t="s">
        <v>332</v>
      </c>
      <c r="B77" s="243" t="s">
        <v>534</v>
      </c>
      <c r="C77" s="86">
        <v>895.76</v>
      </c>
      <c r="D77" s="86">
        <v>184.23</v>
      </c>
      <c r="E77" s="86">
        <v>973.4</v>
      </c>
      <c r="F77" s="86">
        <f>6131.64/7*12</f>
        <v>10511.382857142857</v>
      </c>
      <c r="G77" s="244">
        <v>0</v>
      </c>
      <c r="H77" s="244">
        <f>G77*(1+Parâmetros!F11)</f>
        <v>0</v>
      </c>
      <c r="I77" s="244">
        <f>H77*(1+Parâmetros!G11)</f>
        <v>0</v>
      </c>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row>
    <row r="78" spans="1:177" s="10" customFormat="1" ht="18">
      <c r="A78" s="239" t="s">
        <v>333</v>
      </c>
      <c r="B78" s="240" t="s">
        <v>334</v>
      </c>
      <c r="C78" s="241">
        <f>C79+C80+C85+C86+C94</f>
        <v>1300958.96</v>
      </c>
      <c r="D78" s="241">
        <f>D79+D80+D85+D86+D94</f>
        <v>254153.81</v>
      </c>
      <c r="E78" s="241">
        <f>E79+E80+E85+E86+E94+E83</f>
        <v>2151287.58</v>
      </c>
      <c r="F78" s="241">
        <f>F79+F80+F85+F86+F94+F83</f>
        <v>1552701.6871428571</v>
      </c>
      <c r="G78" s="241">
        <f>G79+G80+G85+G86+G94</f>
        <v>116500</v>
      </c>
      <c r="H78" s="241">
        <f>H79+H80+H85+H86+H94</f>
        <v>-958004.0593259999</v>
      </c>
      <c r="I78" s="241">
        <f>I79+I80+I85+I86+I94</f>
        <v>-1014138.6789998258</v>
      </c>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row>
    <row r="79" spans="1:9" s="87" customFormat="1" ht="12.75">
      <c r="A79" s="242" t="s">
        <v>335</v>
      </c>
      <c r="B79" s="243" t="s">
        <v>336</v>
      </c>
      <c r="C79" s="86">
        <v>48905.34</v>
      </c>
      <c r="D79" s="86">
        <v>0</v>
      </c>
      <c r="E79" s="86">
        <v>553375.47</v>
      </c>
      <c r="F79" s="86">
        <v>928531.03</v>
      </c>
      <c r="G79" s="244">
        <v>112900</v>
      </c>
      <c r="H79" s="244">
        <f>Dívida!F20</f>
        <v>0</v>
      </c>
      <c r="I79" s="244">
        <f>Dívida!G20</f>
        <v>0</v>
      </c>
    </row>
    <row r="80" spans="1:177" s="7" customFormat="1" ht="12.75">
      <c r="A80" s="239" t="s">
        <v>337</v>
      </c>
      <c r="B80" s="240" t="s">
        <v>338</v>
      </c>
      <c r="C80" s="241">
        <f>C81+C82+C83+C84</f>
        <v>0</v>
      </c>
      <c r="D80" s="241">
        <f>D81+D82+D83+D84</f>
        <v>310</v>
      </c>
      <c r="E80" s="241"/>
      <c r="F80" s="241"/>
      <c r="G80" s="241">
        <f>G83</f>
        <v>300</v>
      </c>
      <c r="H80" s="241">
        <f>H81+H82+H83+H84</f>
        <v>310.29</v>
      </c>
      <c r="I80" s="241">
        <f>I81+I82+I83+I84</f>
        <v>320.591628</v>
      </c>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row>
    <row r="81" spans="1:177" s="7" customFormat="1" ht="12.75">
      <c r="A81" s="242" t="s">
        <v>535</v>
      </c>
      <c r="B81" s="243" t="s">
        <v>536</v>
      </c>
      <c r="C81" s="86">
        <v>0</v>
      </c>
      <c r="D81" s="86">
        <v>0</v>
      </c>
      <c r="E81" s="86">
        <v>0</v>
      </c>
      <c r="F81" s="86">
        <v>0</v>
      </c>
      <c r="G81" s="244">
        <f>((C81+D81+E81+F81)/4)*(1+Parâmetros!E11)</f>
        <v>0</v>
      </c>
      <c r="H81" s="244">
        <f>((D81+E81+F81+G81)/4)*(1+Parâmetros!F11)</f>
        <v>0</v>
      </c>
      <c r="I81" s="244">
        <f>((E81+F81+G81+H81)/4)*(1+Parâmetros!G11)</f>
        <v>0</v>
      </c>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row>
    <row r="82" spans="1:177" s="7" customFormat="1" ht="12.75">
      <c r="A82" s="242" t="s">
        <v>537</v>
      </c>
      <c r="B82" s="243" t="s">
        <v>538</v>
      </c>
      <c r="C82" s="351">
        <v>0</v>
      </c>
      <c r="D82" s="351">
        <v>0</v>
      </c>
      <c r="E82" s="351">
        <v>0</v>
      </c>
      <c r="F82" s="351">
        <v>0</v>
      </c>
      <c r="G82" s="244">
        <f>((C82+D82+E82+F82)/4)*(1+Parâmetros!E11)</f>
        <v>0</v>
      </c>
      <c r="H82" s="244">
        <f>((D82+E82+F82+G82)/4)*(1+Parâmetros!F11)</f>
        <v>0</v>
      </c>
      <c r="I82" s="244">
        <f>((E82+F82+G82+H82)/4)*(1+Parâmetros!G11)</f>
        <v>0</v>
      </c>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row>
    <row r="83" spans="1:9" s="87" customFormat="1" ht="12.75">
      <c r="A83" s="242" t="s">
        <v>339</v>
      </c>
      <c r="B83" s="243" t="s">
        <v>340</v>
      </c>
      <c r="C83" s="86">
        <v>0</v>
      </c>
      <c r="D83" s="86">
        <v>310</v>
      </c>
      <c r="E83" s="86">
        <v>6320</v>
      </c>
      <c r="F83" s="86">
        <v>300</v>
      </c>
      <c r="G83" s="244">
        <v>300</v>
      </c>
      <c r="H83" s="244">
        <f>G83*(1+Parâmetros!F11)</f>
        <v>310.29</v>
      </c>
      <c r="I83" s="244">
        <f>H83*(1+Parâmetros!G11)</f>
        <v>320.591628</v>
      </c>
    </row>
    <row r="84" spans="1:9" s="87" customFormat="1" ht="12.75">
      <c r="A84" s="242" t="s">
        <v>341</v>
      </c>
      <c r="B84" s="243" t="s">
        <v>342</v>
      </c>
      <c r="C84" s="86">
        <v>0</v>
      </c>
      <c r="D84" s="86">
        <v>0</v>
      </c>
      <c r="E84" s="86">
        <v>0</v>
      </c>
      <c r="F84" s="86">
        <v>0</v>
      </c>
      <c r="G84" s="244">
        <f>(((D84*(1+Parâmetros!B11)*(1+Parâmetros!C11)*(1+Parâmetros!D11))+(E84*(1+Parâmetros!C11)*(1+Parâmetros!D11)+(F84*(1+Parâmetros!D11))))/3)*(1+Parâmetros!E11)</f>
        <v>0</v>
      </c>
      <c r="H84" s="244">
        <f>G84*(1+Parâmetros!F11)</f>
        <v>0</v>
      </c>
      <c r="I84" s="244">
        <f>H84*(1+Parâmetros!G11)</f>
        <v>0</v>
      </c>
    </row>
    <row r="85" spans="1:9" s="87" customFormat="1" ht="12.75">
      <c r="A85" s="242" t="s">
        <v>343</v>
      </c>
      <c r="B85" s="243" t="s">
        <v>344</v>
      </c>
      <c r="C85" s="86">
        <v>0</v>
      </c>
      <c r="D85" s="86">
        <v>0</v>
      </c>
      <c r="E85" s="86">
        <v>0</v>
      </c>
      <c r="F85" s="86">
        <v>0</v>
      </c>
      <c r="G85" s="244">
        <f>(((D85*(1+Parâmetros!B11)*(1+Parâmetros!C11)*(1+Parâmetros!D11))+(E85*(1+Parâmetros!C11)*(1+Parâmetros!D11)+(F85*(1+Parâmetros!D11))))/3)*(1+Parâmetros!E11)</f>
        <v>0</v>
      </c>
      <c r="H85" s="244">
        <f>G85*(1+Parâmetros!F11)</f>
        <v>0</v>
      </c>
      <c r="I85" s="244">
        <f>H85*(1+Parâmetros!G11)</f>
        <v>0</v>
      </c>
    </row>
    <row r="86" spans="1:177" s="7" customFormat="1" ht="12.75">
      <c r="A86" s="239" t="s">
        <v>345</v>
      </c>
      <c r="B86" s="240" t="s">
        <v>346</v>
      </c>
      <c r="C86" s="241">
        <f aca="true" t="shared" si="14" ref="C86:I86">C87+C88+C89+C90+C91+C92+C93</f>
        <v>1246276.94</v>
      </c>
      <c r="D86" s="241">
        <f t="shared" si="14"/>
        <v>247494.76</v>
      </c>
      <c r="E86" s="241">
        <f t="shared" si="14"/>
        <v>1590111.86</v>
      </c>
      <c r="F86" s="241">
        <f t="shared" si="14"/>
        <v>612905.8971428571</v>
      </c>
      <c r="G86" s="241">
        <f t="shared" si="14"/>
        <v>600</v>
      </c>
      <c r="H86" s="241">
        <f t="shared" si="14"/>
        <v>-961106.959326</v>
      </c>
      <c r="I86" s="241">
        <f t="shared" si="14"/>
        <v>-1017344.5952798259</v>
      </c>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row>
    <row r="87" spans="1:177" ht="12.75">
      <c r="A87" s="242" t="s">
        <v>347</v>
      </c>
      <c r="B87" s="243" t="s">
        <v>267</v>
      </c>
      <c r="C87" s="86">
        <v>1103706.19</v>
      </c>
      <c r="D87" s="86">
        <v>247494.76</v>
      </c>
      <c r="E87" s="86">
        <v>1590111.86</v>
      </c>
      <c r="F87" s="86">
        <f>357528.44/7*12</f>
        <v>612905.8971428571</v>
      </c>
      <c r="G87" s="244">
        <v>600</v>
      </c>
      <c r="H87" s="244">
        <f>G87*(1+Parâmetros!F11)*(1+Parâmetros!F12)-961743.24</f>
        <v>-961106.959326</v>
      </c>
      <c r="I87" s="244">
        <f>H87*(1+Parâmetros!G11)*(1+Parâmetros!G12)</f>
        <v>-1017344.5952798259</v>
      </c>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row>
    <row r="88" spans="1:177" ht="12.75">
      <c r="A88" s="242" t="s">
        <v>348</v>
      </c>
      <c r="B88" s="243" t="s">
        <v>289</v>
      </c>
      <c r="C88" s="86">
        <v>142570.75</v>
      </c>
      <c r="D88" s="86">
        <v>0</v>
      </c>
      <c r="E88" s="86">
        <v>0</v>
      </c>
      <c r="F88" s="86">
        <v>0</v>
      </c>
      <c r="G88" s="244">
        <f>(((D88*(1+Parâmetros!B11)*(1+Parâmetros!C11)*(1+Parâmetros!D11))+(E88*(1+Parâmetros!C11)*(1+Parâmetros!D11)+(F88*(1+Parâmetros!D11))))/3)*(1+Parâmetros!E11)*(1+Parâmetros!E12)</f>
        <v>0</v>
      </c>
      <c r="H88" s="244">
        <f>G88*(1+Parâmetros!F11)*(1+Parâmetros!F12)</f>
        <v>0</v>
      </c>
      <c r="I88" s="244">
        <f>H88*(1+Parâmetros!G11)*(1+Parâmetros!G12)</f>
        <v>0</v>
      </c>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row>
    <row r="89" spans="1:177" ht="12.75">
      <c r="A89" s="242" t="s">
        <v>349</v>
      </c>
      <c r="B89" s="243" t="s">
        <v>310</v>
      </c>
      <c r="C89" s="86">
        <v>0</v>
      </c>
      <c r="D89" s="86">
        <v>0</v>
      </c>
      <c r="E89" s="86">
        <v>0</v>
      </c>
      <c r="F89" s="86">
        <v>0</v>
      </c>
      <c r="G89" s="244">
        <f>(((D89*(1+Parâmetros!B11)*(1+Parâmetros!C11)*(1+Parâmetros!D11))+(E89*(1+Parâmetros!C11)*(1+Parâmetros!D11)+(F89*(1+Parâmetros!D11))))/3)*(1+Parâmetros!E11)*(1+Parâmetros!E12)</f>
        <v>0</v>
      </c>
      <c r="H89" s="244">
        <f>G89*(1+Parâmetros!F11)*(1+Parâmetros!F12)</f>
        <v>0</v>
      </c>
      <c r="I89" s="244">
        <f>H89*(1+Parâmetros!G11)*(1+Parâmetros!G12)</f>
        <v>0</v>
      </c>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row>
    <row r="90" spans="1:177" ht="12.75">
      <c r="A90" s="242" t="s">
        <v>350</v>
      </c>
      <c r="B90" s="243" t="s">
        <v>312</v>
      </c>
      <c r="C90" s="86">
        <v>0</v>
      </c>
      <c r="D90" s="86">
        <v>0</v>
      </c>
      <c r="E90" s="86">
        <v>0</v>
      </c>
      <c r="F90" s="86">
        <v>0</v>
      </c>
      <c r="G90" s="244">
        <f>(((D90*(1+Parâmetros!B11)*(1+Parâmetros!C11)*(1+Parâmetros!D11))+(E90*(1+Parâmetros!C11)*(1+Parâmetros!D11)+(F90*(1+Parâmetros!D11))))/3)*(1+Parâmetros!E11)*(1+Parâmetros!E12)</f>
        <v>0</v>
      </c>
      <c r="H90" s="244">
        <f>G90*(1+Parâmetros!F11)*(1+Parâmetros!F12)</f>
        <v>0</v>
      </c>
      <c r="I90" s="244">
        <f>H90*(1+Parâmetros!G11)*(1+Parâmetros!G12)</f>
        <v>0</v>
      </c>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row>
    <row r="91" spans="1:177" ht="12.75">
      <c r="A91" s="242" t="s">
        <v>351</v>
      </c>
      <c r="B91" s="243" t="s">
        <v>313</v>
      </c>
      <c r="C91" s="86">
        <v>0</v>
      </c>
      <c r="D91" s="86">
        <v>0</v>
      </c>
      <c r="E91" s="86">
        <v>0</v>
      </c>
      <c r="F91" s="86">
        <v>0</v>
      </c>
      <c r="G91" s="244">
        <f>(((D91*(1+Parâmetros!B11)*(1+Parâmetros!C11)*(1+Parâmetros!D11))+(E91*(1+Parâmetros!C11)*(1+Parâmetros!D11)+(F91*(1+Parâmetros!D11))))/3)*(1+Parâmetros!E11)*(1+Parâmetros!E12)</f>
        <v>0</v>
      </c>
      <c r="H91" s="244">
        <f>G91:G92*(1+Parâmetros!F11)*(1+Parâmetros!F12)</f>
        <v>0</v>
      </c>
      <c r="I91" s="244">
        <f>H91:H92*(1+Parâmetros!G11)*(1+Parâmetros!G12)</f>
        <v>0</v>
      </c>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row>
    <row r="92" spans="1:177" ht="12.75">
      <c r="A92" s="242" t="s">
        <v>352</v>
      </c>
      <c r="B92" s="243" t="s">
        <v>315</v>
      </c>
      <c r="C92" s="86">
        <v>0</v>
      </c>
      <c r="D92" s="86">
        <v>0</v>
      </c>
      <c r="E92" s="86">
        <v>0</v>
      </c>
      <c r="F92" s="86">
        <v>0</v>
      </c>
      <c r="G92" s="244">
        <f>(((D92*(1+Parâmetros!B11)*(1+Parâmetros!C11)*(1+Parâmetros!D11))+(E92*(1+Parâmetros!C11)*(1+Parâmetros!D11)+(F92*(1+Parâmetros!D11))))/3)*(1+Parâmetros!E11)*(1+Parâmetros!E12)</f>
        <v>0</v>
      </c>
      <c r="H92" s="244">
        <f>G92*(1+Parâmetros!F11)*(1+Parâmetros!F12)</f>
        <v>0</v>
      </c>
      <c r="I92" s="244">
        <f>H92*(1+Parâmetros!G11)*(1+Parâmetros!G12)</f>
        <v>0</v>
      </c>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row>
    <row r="93" spans="1:177" ht="12.75">
      <c r="A93" s="242" t="s">
        <v>353</v>
      </c>
      <c r="B93" s="243" t="s">
        <v>317</v>
      </c>
      <c r="C93" s="86">
        <v>0</v>
      </c>
      <c r="D93" s="86">
        <v>0</v>
      </c>
      <c r="E93" s="86">
        <v>0</v>
      </c>
      <c r="F93" s="86">
        <v>0</v>
      </c>
      <c r="G93" s="244">
        <f>(((D93*(1+Parâmetros!B11)*(1+Parâmetros!C11)*(1+Parâmetros!D11))+(E93*(1+Parâmetros!C11)*(1+Parâmetros!D11)+(F93*(1+Parâmetros!D11))))/3)*(1+Parâmetros!E11)*(1+Parâmetros!E12)</f>
        <v>0</v>
      </c>
      <c r="H93" s="244">
        <f>G93*(1+Parâmetros!F11)*(1+Parâmetros!F12)</f>
        <v>0</v>
      </c>
      <c r="I93" s="244">
        <f>H93*(1+Parâmetros!G11)*(1+Parâmetros!G12)</f>
        <v>0</v>
      </c>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row>
    <row r="94" spans="1:177" s="7" customFormat="1" ht="12.75">
      <c r="A94" s="239" t="s">
        <v>354</v>
      </c>
      <c r="B94" s="240" t="s">
        <v>355</v>
      </c>
      <c r="C94" s="241">
        <f aca="true" t="shared" si="15" ref="C94:I94">C95+C96</f>
        <v>5776.68</v>
      </c>
      <c r="D94" s="241">
        <f t="shared" si="15"/>
        <v>6349.05</v>
      </c>
      <c r="E94" s="241">
        <f t="shared" si="15"/>
        <v>1480.25</v>
      </c>
      <c r="F94" s="241">
        <f t="shared" si="15"/>
        <v>10964.759999999998</v>
      </c>
      <c r="G94" s="241">
        <f t="shared" si="15"/>
        <v>2700</v>
      </c>
      <c r="H94" s="241">
        <f t="shared" si="15"/>
        <v>2792.61</v>
      </c>
      <c r="I94" s="241">
        <f t="shared" si="15"/>
        <v>2885.324652</v>
      </c>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3"/>
      <c r="FG94" s="83"/>
      <c r="FH94" s="83"/>
      <c r="FI94" s="83"/>
      <c r="FJ94" s="83"/>
      <c r="FK94" s="83"/>
      <c r="FL94" s="83"/>
      <c r="FM94" s="83"/>
      <c r="FN94" s="83"/>
      <c r="FO94" s="83"/>
      <c r="FP94" s="83"/>
      <c r="FQ94" s="83"/>
      <c r="FR94" s="83"/>
      <c r="FS94" s="83"/>
      <c r="FT94" s="83"/>
      <c r="FU94" s="83"/>
    </row>
    <row r="95" spans="1:177" ht="12.75">
      <c r="A95" s="242" t="s">
        <v>356</v>
      </c>
      <c r="B95" s="245" t="s">
        <v>357</v>
      </c>
      <c r="C95" s="86">
        <v>0</v>
      </c>
      <c r="D95" s="86">
        <v>0</v>
      </c>
      <c r="E95" s="86">
        <v>0</v>
      </c>
      <c r="F95" s="86">
        <v>0</v>
      </c>
      <c r="G95" s="244">
        <f>(((D95*(1+Parâmetros!B11)*(1+Parâmetros!C11)*(1+Parâmetros!D11))+(E95*(1+Parâmetros!C11)*(1+Parâmetros!D11)+(F95*(1+Parâmetros!D11))))/3)*(1+Parâmetros!E11)</f>
        <v>0</v>
      </c>
      <c r="H95" s="244">
        <f>G95*(1+Parâmetros!F11)</f>
        <v>0</v>
      </c>
      <c r="I95" s="244">
        <f>H95*(1+Parâmetros!G11)</f>
        <v>0</v>
      </c>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row>
    <row r="96" spans="1:177" ht="12.75">
      <c r="A96" s="242" t="s">
        <v>358</v>
      </c>
      <c r="B96" s="245" t="s">
        <v>359</v>
      </c>
      <c r="C96" s="86">
        <v>5776.68</v>
      </c>
      <c r="D96" s="86">
        <v>6349.05</v>
      </c>
      <c r="E96" s="86">
        <v>1480.25</v>
      </c>
      <c r="F96" s="86">
        <f>6396.11/7*12</f>
        <v>10964.759999999998</v>
      </c>
      <c r="G96" s="244">
        <v>2700</v>
      </c>
      <c r="H96" s="244">
        <f>G96*(1+Parâmetros!F11)</f>
        <v>2792.61</v>
      </c>
      <c r="I96" s="244">
        <f>H96*(1+Parâmetros!G11)</f>
        <v>2885.324652</v>
      </c>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row>
    <row r="97" spans="1:9" s="90" customFormat="1" ht="18">
      <c r="A97" s="471" t="s">
        <v>360</v>
      </c>
      <c r="B97" s="240" t="s">
        <v>608</v>
      </c>
      <c r="C97" s="472">
        <f aca="true" t="shared" si="16" ref="C97:I97">C98+C99</f>
        <v>0</v>
      </c>
      <c r="D97" s="472">
        <f t="shared" si="16"/>
        <v>0</v>
      </c>
      <c r="E97" s="472">
        <f t="shared" si="16"/>
        <v>0</v>
      </c>
      <c r="F97" s="472">
        <f t="shared" si="16"/>
        <v>0</v>
      </c>
      <c r="G97" s="241">
        <f t="shared" si="16"/>
        <v>0</v>
      </c>
      <c r="H97" s="241">
        <f t="shared" si="16"/>
        <v>0</v>
      </c>
      <c r="I97" s="241">
        <f t="shared" si="16"/>
        <v>0</v>
      </c>
    </row>
    <row r="98" spans="1:9" s="90" customFormat="1" ht="18">
      <c r="A98" s="246" t="s">
        <v>360</v>
      </c>
      <c r="B98" s="243" t="s">
        <v>654</v>
      </c>
      <c r="C98" s="86">
        <v>0</v>
      </c>
      <c r="D98" s="86">
        <v>0</v>
      </c>
      <c r="E98" s="86">
        <v>0</v>
      </c>
      <c r="F98" s="86">
        <v>0</v>
      </c>
      <c r="G98" s="244">
        <f>(((D98*(1+Parâmetros!B11)*(1+Parâmetros!C11)*(1+Parâmetros!D11))+(E98*(1+Parâmetros!C11)*(1+Parâmetros!D11)+(F98*(1+Parâmetros!D11))))/3)*(1+Parâmetros!E11)*(1+Parâmetros!E13)*(1+Parâmetros!E18)</f>
        <v>0</v>
      </c>
      <c r="H98" s="244">
        <f>G98*(1+Parâmetros!F11)*(1+Parâmetros!F13)*(1+Parâmetros!F18)</f>
        <v>0</v>
      </c>
      <c r="I98" s="244">
        <f>H98*(1+Parâmetros!G11)*(1+Parâmetros!G13)*(1+Parâmetros!G1899)</f>
        <v>0</v>
      </c>
    </row>
    <row r="99" spans="1:9" s="90" customFormat="1" ht="18">
      <c r="A99" s="246" t="s">
        <v>360</v>
      </c>
      <c r="B99" s="243" t="s">
        <v>655</v>
      </c>
      <c r="C99" s="86">
        <v>0</v>
      </c>
      <c r="D99" s="86">
        <v>0</v>
      </c>
      <c r="E99" s="86">
        <v>0</v>
      </c>
      <c r="F99" s="86">
        <v>0</v>
      </c>
      <c r="G99" s="244">
        <f>(((D99*(1+Parâmetros!B11)*(1+Parâmetros!C11)*(1+Parâmetros!D11))+(E99*(1+Parâmetros!C11)*(1+Parâmetros!D11)+(F99*(1+Parâmetros!D11))))/3)*(1+Parâmetros!E11)</f>
        <v>0</v>
      </c>
      <c r="H99" s="244">
        <f>G99*(1+Parâmetros!F11)</f>
        <v>0</v>
      </c>
      <c r="I99" s="244">
        <f>H99*(1+Parâmetros!G11)</f>
        <v>0</v>
      </c>
    </row>
    <row r="100" spans="1:9" s="90" customFormat="1" ht="18">
      <c r="A100" s="239" t="s">
        <v>361</v>
      </c>
      <c r="B100" s="240" t="s">
        <v>362</v>
      </c>
      <c r="C100" s="472">
        <f aca="true" t="shared" si="17" ref="C100:I100">C101+C102</f>
        <v>0</v>
      </c>
      <c r="D100" s="472">
        <f t="shared" si="17"/>
        <v>0</v>
      </c>
      <c r="E100" s="472">
        <f t="shared" si="17"/>
        <v>0</v>
      </c>
      <c r="F100" s="472">
        <f t="shared" si="17"/>
        <v>0</v>
      </c>
      <c r="G100" s="241">
        <f t="shared" si="17"/>
        <v>0</v>
      </c>
      <c r="H100" s="241">
        <f t="shared" si="17"/>
        <v>0</v>
      </c>
      <c r="I100" s="241">
        <f t="shared" si="17"/>
        <v>0</v>
      </c>
    </row>
    <row r="101" spans="1:9" s="90" customFormat="1" ht="18">
      <c r="A101" s="242" t="s">
        <v>361</v>
      </c>
      <c r="B101" s="243" t="s">
        <v>656</v>
      </c>
      <c r="C101" s="86">
        <v>0</v>
      </c>
      <c r="D101" s="86">
        <v>0</v>
      </c>
      <c r="E101" s="86">
        <v>0</v>
      </c>
      <c r="F101" s="86">
        <v>0</v>
      </c>
      <c r="G101" s="244">
        <f>(((D101*(1+Parâmetros!B11)*(1+Parâmetros!C11)*(1+Parâmetros!D11))+(E101*(1+Parâmetros!C11)*(1+Parâmetros!D11)+(F101*(1+Parâmetros!D11))))/3)*(1+Parâmetros!E11)</f>
        <v>0</v>
      </c>
      <c r="H101" s="244">
        <f>G101*(1+Parâmetros!F11)</f>
        <v>0</v>
      </c>
      <c r="I101" s="244">
        <f>H101*(1+Parâmetros!G11)</f>
        <v>0</v>
      </c>
    </row>
    <row r="102" spans="1:12" s="90" customFormat="1" ht="18">
      <c r="A102" s="242" t="s">
        <v>361</v>
      </c>
      <c r="B102" s="243" t="s">
        <v>657</v>
      </c>
      <c r="C102" s="86">
        <v>0</v>
      </c>
      <c r="D102" s="86">
        <v>0</v>
      </c>
      <c r="E102" s="86">
        <v>0</v>
      </c>
      <c r="F102" s="86">
        <v>0</v>
      </c>
      <c r="G102" s="244">
        <f>(((D102*(1+Parâmetros!B11)*(1+Parâmetros!C11)*(1+Parâmetros!D11))+(E102*(1+Parâmetros!C11)*(1+Parâmetros!D11)+(F102*(1+Parâmetros!D11))))/3)*(1+Parâmetros!E11)</f>
        <v>0</v>
      </c>
      <c r="H102" s="244">
        <f>G102*(1+Parâmetros!F11)</f>
        <v>0</v>
      </c>
      <c r="I102" s="244">
        <f>H102*(1+Parâmetros!G11)</f>
        <v>0</v>
      </c>
      <c r="L102" s="489"/>
    </row>
    <row r="103" spans="1:177" s="10" customFormat="1" ht="30.75" customHeight="1">
      <c r="A103" s="239" t="s">
        <v>363</v>
      </c>
      <c r="B103" s="240" t="s">
        <v>604</v>
      </c>
      <c r="C103" s="241">
        <f aca="true" t="shared" si="18" ref="C103:I103">C104+C105+C106+C107</f>
        <v>-2699218.246</v>
      </c>
      <c r="D103" s="241">
        <f t="shared" si="18"/>
        <v>-2853475.0919999997</v>
      </c>
      <c r="E103" s="241">
        <f t="shared" si="18"/>
        <v>-2838420.898</v>
      </c>
      <c r="F103" s="241">
        <f t="shared" si="18"/>
        <v>-3649291.743428571</v>
      </c>
      <c r="G103" s="241">
        <f t="shared" si="18"/>
        <v>-5139902.84</v>
      </c>
      <c r="H103" s="241">
        <f t="shared" si="18"/>
        <v>-6580742.780969363</v>
      </c>
      <c r="I103" s="241">
        <f t="shared" si="18"/>
        <v>-8130363.77078085</v>
      </c>
      <c r="J103" s="103"/>
      <c r="K103" s="103"/>
      <c r="L103" s="490"/>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row>
    <row r="104" spans="1:177" ht="12.75">
      <c r="A104" s="242" t="s">
        <v>364</v>
      </c>
      <c r="B104" s="243" t="s">
        <v>605</v>
      </c>
      <c r="C104" s="40">
        <v>-31498.17</v>
      </c>
      <c r="D104" s="40">
        <v>-25665.76</v>
      </c>
      <c r="E104" s="40">
        <v>-24738.4</v>
      </c>
      <c r="F104" s="40">
        <v>-51225.7</v>
      </c>
      <c r="G104" s="244">
        <v>-1545902.84</v>
      </c>
      <c r="H104" s="244">
        <f>G104*(1+Parâmetros!F11)-1000000</f>
        <v>-2598927.3074120004</v>
      </c>
      <c r="I104" s="244">
        <f>H104*(1+Parâmetros!G11)-966715.08</f>
        <v>-3651926.7740180786</v>
      </c>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row>
    <row r="105" spans="1:177" ht="12.75">
      <c r="A105" s="239" t="s">
        <v>365</v>
      </c>
      <c r="B105" s="240" t="s">
        <v>366</v>
      </c>
      <c r="C105" s="248">
        <f aca="true" t="shared" si="19" ref="C105:I105">-((C41+C44+C49+C52+C53+C54)*0.2)</f>
        <v>-2667720.076</v>
      </c>
      <c r="D105" s="248">
        <f t="shared" si="19"/>
        <v>-2827809.332</v>
      </c>
      <c r="E105" s="248">
        <f t="shared" si="19"/>
        <v>-2813682.498</v>
      </c>
      <c r="F105" s="248">
        <f t="shared" si="19"/>
        <v>-3598066.043428571</v>
      </c>
      <c r="G105" s="248">
        <f t="shared" si="19"/>
        <v>-3594000</v>
      </c>
      <c r="H105" s="248">
        <f t="shared" si="19"/>
        <v>-3981815.4735573623</v>
      </c>
      <c r="I105" s="248">
        <f t="shared" si="19"/>
        <v>-4478436.996762772</v>
      </c>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row>
    <row r="106" spans="1:177" ht="12.75">
      <c r="A106" s="242" t="s">
        <v>367</v>
      </c>
      <c r="B106" s="243" t="s">
        <v>606</v>
      </c>
      <c r="C106" s="86">
        <v>0</v>
      </c>
      <c r="D106" s="86">
        <v>0</v>
      </c>
      <c r="E106" s="86">
        <v>0</v>
      </c>
      <c r="F106" s="86">
        <v>0</v>
      </c>
      <c r="G106" s="244">
        <f>(((D106*(1+Parâmetros!B11)*(1+Parâmetros!C11)*(1+Parâmetros!D11))+(E106*(1+Parâmetros!C11)*(1+Parâmetros!D11)+(F106*(1+Parâmetros!D11))))/3)*(1+Parâmetros!E11)</f>
        <v>0</v>
      </c>
      <c r="H106" s="244">
        <f>G106*(1+Parâmetros!F11)</f>
        <v>0</v>
      </c>
      <c r="I106" s="244">
        <f>H106*(1+Parâmetros!G11)</f>
        <v>0</v>
      </c>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row>
    <row r="107" spans="1:177" ht="12.75">
      <c r="A107" s="242" t="s">
        <v>368</v>
      </c>
      <c r="B107" s="243" t="s">
        <v>607</v>
      </c>
      <c r="C107" s="86">
        <v>0</v>
      </c>
      <c r="D107" s="86">
        <v>0</v>
      </c>
      <c r="E107" s="86">
        <v>0</v>
      </c>
      <c r="F107" s="86">
        <v>0</v>
      </c>
      <c r="G107" s="244">
        <f>(((D107*(1+Parâmetros!B11)*(1+Parâmetros!C11)*(1+Parâmetros!D11))+(E107*(1+Parâmetros!C11)*(1+Parâmetros!D11)+(F107*(1+Parâmetros!D11))))/3)*(1+Parâmetros!E11)</f>
        <v>0</v>
      </c>
      <c r="H107" s="244">
        <f>G107*(1+Parâmetros!F11)</f>
        <v>0</v>
      </c>
      <c r="I107" s="244">
        <f>H107*(1+Parâmetros!G11)</f>
        <v>0</v>
      </c>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row>
    <row r="108" spans="1:177" ht="12.75">
      <c r="A108" s="249"/>
      <c r="B108" s="250"/>
      <c r="C108" s="247"/>
      <c r="D108" s="247"/>
      <c r="E108" s="247"/>
      <c r="F108" s="247"/>
      <c r="G108" s="244"/>
      <c r="H108" s="244"/>
      <c r="I108" s="244"/>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row>
    <row r="109" spans="1:177" s="9" customFormat="1" ht="25.5" customHeight="1">
      <c r="A109" s="251"/>
      <c r="B109" s="252" t="s">
        <v>511</v>
      </c>
      <c r="C109" s="248">
        <f aca="true" t="shared" si="20" ref="C109:I109">C8+C78+C97+C100+C103</f>
        <v>17921715.106000002</v>
      </c>
      <c r="D109" s="248">
        <f t="shared" si="20"/>
        <v>18726908.247999996</v>
      </c>
      <c r="E109" s="248">
        <f t="shared" si="20"/>
        <v>21968415.801999994</v>
      </c>
      <c r="F109" s="248">
        <f t="shared" si="20"/>
        <v>23337506.543714285</v>
      </c>
      <c r="G109" s="248">
        <f t="shared" si="20"/>
        <v>23211300</v>
      </c>
      <c r="H109" s="248">
        <f t="shared" si="20"/>
        <v>23788111.87802509</v>
      </c>
      <c r="I109" s="248">
        <f t="shared" si="20"/>
        <v>25181350.531880524</v>
      </c>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c r="CL109" s="104"/>
      <c r="CM109" s="104"/>
      <c r="CN109" s="104"/>
      <c r="CO109" s="104"/>
      <c r="CP109" s="104"/>
      <c r="CQ109" s="104"/>
      <c r="CR109" s="104"/>
      <c r="CS109" s="104"/>
      <c r="CT109" s="104"/>
      <c r="CU109" s="104"/>
      <c r="CV109" s="104"/>
      <c r="CW109" s="104"/>
      <c r="CX109" s="104"/>
      <c r="CY109" s="104"/>
      <c r="CZ109" s="104"/>
      <c r="DA109" s="104"/>
      <c r="DB109" s="104"/>
      <c r="DC109" s="104"/>
      <c r="DD109" s="104"/>
      <c r="DE109" s="104"/>
      <c r="DF109" s="104"/>
      <c r="DG109" s="104"/>
      <c r="DH109" s="104"/>
      <c r="DI109" s="104"/>
      <c r="DJ109" s="104"/>
      <c r="DK109" s="104"/>
      <c r="DL109" s="104"/>
      <c r="DM109" s="104"/>
      <c r="DN109" s="104"/>
      <c r="DO109" s="104"/>
      <c r="DP109" s="104"/>
      <c r="DQ109" s="104"/>
      <c r="DR109" s="104"/>
      <c r="DS109" s="104"/>
      <c r="DT109" s="104"/>
      <c r="DU109" s="104"/>
      <c r="DV109" s="104"/>
      <c r="DW109" s="104"/>
      <c r="DX109" s="104"/>
      <c r="DY109" s="104"/>
      <c r="DZ109" s="104"/>
      <c r="EA109" s="104"/>
      <c r="EB109" s="104"/>
      <c r="EC109" s="104"/>
      <c r="ED109" s="104"/>
      <c r="EE109" s="104"/>
      <c r="EF109" s="104"/>
      <c r="EG109" s="104"/>
      <c r="EH109" s="104"/>
      <c r="EI109" s="104"/>
      <c r="EJ109" s="104"/>
      <c r="EK109" s="104"/>
      <c r="EL109" s="104"/>
      <c r="EM109" s="104"/>
      <c r="EN109" s="104"/>
      <c r="EO109" s="104"/>
      <c r="EP109" s="104"/>
      <c r="EQ109" s="104"/>
      <c r="ER109" s="104"/>
      <c r="ES109" s="104"/>
      <c r="ET109" s="104"/>
      <c r="EU109" s="104"/>
      <c r="EV109" s="104"/>
      <c r="EW109" s="104"/>
      <c r="EX109" s="104"/>
      <c r="EY109" s="104"/>
      <c r="EZ109" s="104"/>
      <c r="FA109" s="104"/>
      <c r="FB109" s="104"/>
      <c r="FC109" s="104"/>
      <c r="FD109" s="104"/>
      <c r="FE109" s="104"/>
      <c r="FF109" s="104"/>
      <c r="FG109" s="104"/>
      <c r="FH109" s="104"/>
      <c r="FI109" s="104"/>
      <c r="FJ109" s="104"/>
      <c r="FK109" s="104"/>
      <c r="FL109" s="104"/>
      <c r="FM109" s="104"/>
      <c r="FN109" s="104"/>
      <c r="FO109" s="104"/>
      <c r="FP109" s="104"/>
      <c r="FQ109" s="104"/>
      <c r="FR109" s="104"/>
      <c r="FS109" s="104"/>
      <c r="FT109" s="104"/>
      <c r="FU109" s="104"/>
    </row>
    <row r="110" spans="1:177" ht="12.75">
      <c r="A110" s="54"/>
      <c r="B110" s="54"/>
      <c r="C110" s="55"/>
      <c r="D110" s="55"/>
      <c r="E110" s="55"/>
      <c r="F110" s="55"/>
      <c r="G110" s="107"/>
      <c r="H110" s="107"/>
      <c r="I110" s="10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row>
    <row r="111" spans="1:177" ht="15.75">
      <c r="A111" s="507" t="str">
        <f>Parâmetros!A7</f>
        <v>Município de : Tavares</v>
      </c>
      <c r="B111" s="505"/>
      <c r="C111" s="505"/>
      <c r="D111" s="505"/>
      <c r="E111" s="505"/>
      <c r="F111" s="505"/>
      <c r="G111" s="505"/>
      <c r="H111" s="505"/>
      <c r="I111" s="505"/>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row>
    <row r="112" spans="1:177" ht="15.75">
      <c r="A112" s="506" t="str">
        <f>Parâmetros!A8</f>
        <v>LEI  ORÇAMENTÁRIAS  PARA 2022</v>
      </c>
      <c r="B112" s="505"/>
      <c r="C112" s="505"/>
      <c r="D112" s="505"/>
      <c r="E112" s="505"/>
      <c r="F112" s="505"/>
      <c r="G112" s="505"/>
      <c r="H112" s="505"/>
      <c r="I112" s="505"/>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row>
    <row r="113" spans="1:177" ht="15.75">
      <c r="A113" s="504" t="s">
        <v>642</v>
      </c>
      <c r="B113" s="505"/>
      <c r="C113" s="505"/>
      <c r="D113" s="505"/>
      <c r="E113" s="505"/>
      <c r="F113" s="505"/>
      <c r="G113" s="505"/>
      <c r="H113" s="505"/>
      <c r="I113" s="505"/>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row>
    <row r="114" spans="1:177" ht="15">
      <c r="A114" s="54"/>
      <c r="B114" s="54"/>
      <c r="C114" s="55"/>
      <c r="D114" s="55"/>
      <c r="E114" s="55"/>
      <c r="F114" s="55"/>
      <c r="G114" s="107"/>
      <c r="H114" s="107"/>
      <c r="I114" s="19" t="s">
        <v>55</v>
      </c>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row>
    <row r="115" spans="1:177" s="1" customFormat="1" ht="15.75">
      <c r="A115" s="256"/>
      <c r="B115" s="257" t="s">
        <v>0</v>
      </c>
      <c r="C115" s="258" t="s">
        <v>509</v>
      </c>
      <c r="D115" s="258" t="s">
        <v>509</v>
      </c>
      <c r="E115" s="258" t="s">
        <v>509</v>
      </c>
      <c r="F115" s="259" t="s">
        <v>510</v>
      </c>
      <c r="G115" s="259" t="s">
        <v>12</v>
      </c>
      <c r="H115" s="260" t="s">
        <v>12</v>
      </c>
      <c r="I115" s="261" t="s">
        <v>12</v>
      </c>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row>
    <row r="116" spans="1:177" s="1" customFormat="1" ht="27.75" customHeight="1">
      <c r="A116" s="262"/>
      <c r="B116" s="263" t="s">
        <v>8</v>
      </c>
      <c r="C116" s="264">
        <f>C7</f>
        <v>2018</v>
      </c>
      <c r="D116" s="265">
        <f aca="true" t="shared" si="21" ref="D116:I116">C116+1</f>
        <v>2019</v>
      </c>
      <c r="E116" s="265">
        <f t="shared" si="21"/>
        <v>2020</v>
      </c>
      <c r="F116" s="265">
        <f t="shared" si="21"/>
        <v>2021</v>
      </c>
      <c r="G116" s="265">
        <f t="shared" si="21"/>
        <v>2022</v>
      </c>
      <c r="H116" s="265">
        <f t="shared" si="21"/>
        <v>2023</v>
      </c>
      <c r="I116" s="265">
        <f t="shared" si="21"/>
        <v>2024</v>
      </c>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row>
    <row r="117" spans="1:177" s="92" customFormat="1" ht="15.75">
      <c r="A117" s="253" t="s">
        <v>42</v>
      </c>
      <c r="B117" s="254" t="s">
        <v>1</v>
      </c>
      <c r="C117" s="255">
        <f aca="true" t="shared" si="22" ref="C117:I117">C118+C123+C128</f>
        <v>14902653.849999998</v>
      </c>
      <c r="D117" s="255">
        <f t="shared" si="22"/>
        <v>16722142.639999997</v>
      </c>
      <c r="E117" s="255">
        <f t="shared" si="22"/>
        <v>17355015.37</v>
      </c>
      <c r="F117" s="255">
        <f t="shared" si="22"/>
        <v>19021164.351428572</v>
      </c>
      <c r="G117" s="255">
        <f t="shared" si="22"/>
        <v>21814551</v>
      </c>
      <c r="H117" s="255">
        <f t="shared" si="22"/>
        <v>23756466.55559385</v>
      </c>
      <c r="I117" s="255">
        <f t="shared" si="22"/>
        <v>26442782.158859946</v>
      </c>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c r="EU117" s="101"/>
      <c r="EV117" s="101"/>
      <c r="EW117" s="101"/>
      <c r="EX117" s="101"/>
      <c r="EY117" s="101"/>
      <c r="EZ117" s="101"/>
      <c r="FA117" s="101"/>
      <c r="FB117" s="101"/>
      <c r="FC117" s="101"/>
      <c r="FD117" s="101"/>
      <c r="FE117" s="101"/>
      <c r="FF117" s="101"/>
      <c r="FG117" s="101"/>
      <c r="FH117" s="101"/>
      <c r="FI117" s="101"/>
      <c r="FJ117" s="101"/>
      <c r="FK117" s="101"/>
      <c r="FL117" s="101"/>
      <c r="FM117" s="101"/>
      <c r="FN117" s="101"/>
      <c r="FO117" s="101"/>
      <c r="FP117" s="101"/>
      <c r="FQ117" s="101"/>
      <c r="FR117" s="101"/>
      <c r="FS117" s="101"/>
      <c r="FT117" s="101"/>
      <c r="FU117" s="101"/>
    </row>
    <row r="118" spans="1:177" s="92" customFormat="1" ht="15.75">
      <c r="A118" s="253" t="s">
        <v>43</v>
      </c>
      <c r="B118" s="254" t="s">
        <v>44</v>
      </c>
      <c r="C118" s="255">
        <f aca="true" t="shared" si="23" ref="C118:I118">C119+C120+C121+C122</f>
        <v>9564690.639999999</v>
      </c>
      <c r="D118" s="255">
        <f t="shared" si="23"/>
        <v>10216261.579999998</v>
      </c>
      <c r="E118" s="255">
        <f t="shared" si="23"/>
        <v>10922854.28</v>
      </c>
      <c r="F118" s="255">
        <f t="shared" si="23"/>
        <v>11226985.157142857</v>
      </c>
      <c r="G118" s="255">
        <f t="shared" si="23"/>
        <v>12642366</v>
      </c>
      <c r="H118" s="255">
        <f t="shared" si="23"/>
        <v>13335558.879836116</v>
      </c>
      <c r="I118" s="255">
        <f t="shared" si="23"/>
        <v>14023262.998165263</v>
      </c>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c r="EU118" s="101"/>
      <c r="EV118" s="101"/>
      <c r="EW118" s="101"/>
      <c r="EX118" s="101"/>
      <c r="EY118" s="101"/>
      <c r="EZ118" s="101"/>
      <c r="FA118" s="101"/>
      <c r="FB118" s="101"/>
      <c r="FC118" s="101"/>
      <c r="FD118" s="101"/>
      <c r="FE118" s="101"/>
      <c r="FF118" s="101"/>
      <c r="FG118" s="101"/>
      <c r="FH118" s="101"/>
      <c r="FI118" s="101"/>
      <c r="FJ118" s="101"/>
      <c r="FK118" s="101"/>
      <c r="FL118" s="101"/>
      <c r="FM118" s="101"/>
      <c r="FN118" s="101"/>
      <c r="FO118" s="101"/>
      <c r="FP118" s="101"/>
      <c r="FQ118" s="101"/>
      <c r="FR118" s="101"/>
      <c r="FS118" s="101"/>
      <c r="FT118" s="101"/>
      <c r="FU118" s="101"/>
    </row>
    <row r="119" spans="1:177" s="8" customFormat="1" ht="15">
      <c r="A119" s="266" t="s">
        <v>43</v>
      </c>
      <c r="B119" s="267" t="s">
        <v>369</v>
      </c>
      <c r="C119" s="86">
        <v>8823297.52</v>
      </c>
      <c r="D119" s="86">
        <v>9445391.04</v>
      </c>
      <c r="E119" s="86">
        <v>10179625.02</v>
      </c>
      <c r="F119" s="86">
        <f>5645609.03/7*13</f>
        <v>10484702.484285714</v>
      </c>
      <c r="G119" s="244">
        <v>11856266</v>
      </c>
      <c r="H119" s="268">
        <f>G119*(1+Parâmetros!F11)*(1+Parâmetros!F13)*(1+Parâmetros!F18)</f>
        <v>12506356.273659458</v>
      </c>
      <c r="I119" s="268">
        <f>H119*(1+Parâmetros!G11)*(1+Parâmetros!G13)*(1+Parâmetros!G18)</f>
        <v>13151299.075996129</v>
      </c>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c r="EU119" s="101"/>
      <c r="EV119" s="101"/>
      <c r="EW119" s="101"/>
      <c r="EX119" s="101"/>
      <c r="EY119" s="101"/>
      <c r="EZ119" s="101"/>
      <c r="FA119" s="101"/>
      <c r="FB119" s="101"/>
      <c r="FC119" s="101"/>
      <c r="FD119" s="101"/>
      <c r="FE119" s="101"/>
      <c r="FF119" s="101"/>
      <c r="FG119" s="101"/>
      <c r="FH119" s="101"/>
      <c r="FI119" s="101"/>
      <c r="FJ119" s="101"/>
      <c r="FK119" s="101"/>
      <c r="FL119" s="101"/>
      <c r="FM119" s="101"/>
      <c r="FN119" s="101"/>
      <c r="FO119" s="101"/>
      <c r="FP119" s="101"/>
      <c r="FQ119" s="101"/>
      <c r="FR119" s="101"/>
      <c r="FS119" s="101"/>
      <c r="FT119" s="101"/>
      <c r="FU119" s="101"/>
    </row>
    <row r="120" spans="1:177" s="8" customFormat="1" ht="15">
      <c r="A120" s="266" t="s">
        <v>43</v>
      </c>
      <c r="B120" s="267" t="s">
        <v>370</v>
      </c>
      <c r="C120" s="91">
        <v>741393.12</v>
      </c>
      <c r="D120" s="91">
        <v>770870.54</v>
      </c>
      <c r="E120" s="91">
        <v>743229.26</v>
      </c>
      <c r="F120" s="91">
        <f>399690.67/7*13</f>
        <v>742282.6728571429</v>
      </c>
      <c r="G120" s="244">
        <v>786100</v>
      </c>
      <c r="H120" s="268">
        <f>G120*(1+Parâmetros!F11)*(1+Parâmetros!F13)*(1+Parâmetros!F19)</f>
        <v>829202.606176658</v>
      </c>
      <c r="I120" s="268">
        <f>H120*(1+Parâmetros!G11)*(1+Parâmetros!G13)*(1+Parâmetros!G19)</f>
        <v>871963.9221691346</v>
      </c>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c r="EU120" s="101"/>
      <c r="EV120" s="101"/>
      <c r="EW120" s="101"/>
      <c r="EX120" s="101"/>
      <c r="EY120" s="101"/>
      <c r="EZ120" s="101"/>
      <c r="FA120" s="101"/>
      <c r="FB120" s="101"/>
      <c r="FC120" s="101"/>
      <c r="FD120" s="101"/>
      <c r="FE120" s="101"/>
      <c r="FF120" s="101"/>
      <c r="FG120" s="101"/>
      <c r="FH120" s="101"/>
      <c r="FI120" s="101"/>
      <c r="FJ120" s="101"/>
      <c r="FK120" s="101"/>
      <c r="FL120" s="101"/>
      <c r="FM120" s="101"/>
      <c r="FN120" s="101"/>
      <c r="FO120" s="101"/>
      <c r="FP120" s="101"/>
      <c r="FQ120" s="101"/>
      <c r="FR120" s="101"/>
      <c r="FS120" s="101"/>
      <c r="FT120" s="101"/>
      <c r="FU120" s="101"/>
    </row>
    <row r="121" spans="1:177" s="8" customFormat="1" ht="14.25" customHeight="1">
      <c r="A121" s="266" t="s">
        <v>43</v>
      </c>
      <c r="B121" s="267" t="s">
        <v>206</v>
      </c>
      <c r="C121" s="91"/>
      <c r="D121" s="91"/>
      <c r="E121" s="91"/>
      <c r="F121" s="91"/>
      <c r="G121" s="244">
        <f>(((D121*(1+Parâmetros!B11)*(1+Parâmetros!C11)*(1+Parâmetros!D11))+(E121*(1+Parâmetros!C11)*(1+Parâmetros!D11)+(F121*(1+Parâmetros!D11))))/3)*(1+Parâmetros!E11)*(1+Parâmetros!E13)*(1+Parâmetros!E18)</f>
        <v>0</v>
      </c>
      <c r="H121" s="268">
        <f>G121*(1+Parâmetros!F11)*(1+Parâmetros!F13)*(1+Parâmetros!F18)</f>
        <v>0</v>
      </c>
      <c r="I121" s="268">
        <f>H121*(1+Parâmetros!G11)*(1+Parâmetros!G13)*(1+Parâmetros!G18)</f>
        <v>0</v>
      </c>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c r="CU121" s="101"/>
      <c r="CV121" s="101"/>
      <c r="CW121" s="101"/>
      <c r="CX121" s="101"/>
      <c r="CY121" s="101"/>
      <c r="CZ121" s="101"/>
      <c r="DA121" s="101"/>
      <c r="DB121" s="101"/>
      <c r="DC121" s="101"/>
      <c r="DD121" s="101"/>
      <c r="DE121" s="101"/>
      <c r="DF121" s="101"/>
      <c r="DG121" s="101"/>
      <c r="DH121" s="101"/>
      <c r="DI121" s="101"/>
      <c r="DJ121" s="101"/>
      <c r="DK121" s="101"/>
      <c r="DL121" s="101"/>
      <c r="DM121" s="101"/>
      <c r="DN121" s="101"/>
      <c r="DO121" s="101"/>
      <c r="DP121" s="101"/>
      <c r="DQ121" s="101"/>
      <c r="DR121" s="101"/>
      <c r="DS121" s="101"/>
      <c r="DT121" s="101"/>
      <c r="DU121" s="101"/>
      <c r="DV121" s="101"/>
      <c r="DW121" s="101"/>
      <c r="DX121" s="101"/>
      <c r="DY121" s="101"/>
      <c r="DZ121" s="101"/>
      <c r="EA121" s="101"/>
      <c r="EB121" s="101"/>
      <c r="EC121" s="101"/>
      <c r="ED121" s="101"/>
      <c r="EE121" s="101"/>
      <c r="EF121" s="101"/>
      <c r="EG121" s="101"/>
      <c r="EH121" s="101"/>
      <c r="EI121" s="101"/>
      <c r="EJ121" s="101"/>
      <c r="EK121" s="101"/>
      <c r="EL121" s="101"/>
      <c r="EM121" s="101"/>
      <c r="EN121" s="101"/>
      <c r="EO121" s="101"/>
      <c r="EP121" s="101"/>
      <c r="EQ121" s="101"/>
      <c r="ER121" s="101"/>
      <c r="ES121" s="101"/>
      <c r="ET121" s="101"/>
      <c r="EU121" s="101"/>
      <c r="EV121" s="101"/>
      <c r="EW121" s="101"/>
      <c r="EX121" s="101"/>
      <c r="EY121" s="101"/>
      <c r="EZ121" s="101"/>
      <c r="FA121" s="101"/>
      <c r="FB121" s="101"/>
      <c r="FC121" s="101"/>
      <c r="FD121" s="101"/>
      <c r="FE121" s="101"/>
      <c r="FF121" s="101"/>
      <c r="FG121" s="101"/>
      <c r="FH121" s="101"/>
      <c r="FI121" s="101"/>
      <c r="FJ121" s="101"/>
      <c r="FK121" s="101"/>
      <c r="FL121" s="101"/>
      <c r="FM121" s="101"/>
      <c r="FN121" s="101"/>
      <c r="FO121" s="101"/>
      <c r="FP121" s="101"/>
      <c r="FQ121" s="101"/>
      <c r="FR121" s="101"/>
      <c r="FS121" s="101"/>
      <c r="FT121" s="101"/>
      <c r="FU121" s="101"/>
    </row>
    <row r="122" spans="1:177" s="437" customFormat="1" ht="14.25" customHeight="1">
      <c r="A122" s="266" t="s">
        <v>613</v>
      </c>
      <c r="B122" s="269" t="s">
        <v>621</v>
      </c>
      <c r="C122" s="91"/>
      <c r="D122" s="91"/>
      <c r="E122" s="91"/>
      <c r="F122" s="91"/>
      <c r="G122" s="244">
        <f>((D122+E122+F122)/3)*(1+Parâmetros!E11)</f>
        <v>0</v>
      </c>
      <c r="H122" s="268">
        <f>((E122+F122+G122)/3)*(1+Parâmetros!F11)</f>
        <v>0</v>
      </c>
      <c r="I122" s="268">
        <f>((F122+G122+H122)/3)*(1+Parâmetros!G11)</f>
        <v>0</v>
      </c>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c r="BC122" s="436"/>
      <c r="BD122" s="436"/>
      <c r="BE122" s="436"/>
      <c r="BF122" s="436"/>
      <c r="BG122" s="436"/>
      <c r="BH122" s="436"/>
      <c r="BI122" s="436"/>
      <c r="BJ122" s="436"/>
      <c r="BK122" s="436"/>
      <c r="BL122" s="436"/>
      <c r="BM122" s="436"/>
      <c r="BN122" s="436"/>
      <c r="BO122" s="436"/>
      <c r="BP122" s="436"/>
      <c r="BQ122" s="436"/>
      <c r="BR122" s="436"/>
      <c r="BS122" s="436"/>
      <c r="BT122" s="436"/>
      <c r="BU122" s="436"/>
      <c r="BV122" s="436"/>
      <c r="BW122" s="436"/>
      <c r="BX122" s="436"/>
      <c r="BY122" s="436"/>
      <c r="BZ122" s="436"/>
      <c r="CA122" s="436"/>
      <c r="CB122" s="436"/>
      <c r="CC122" s="436"/>
      <c r="CD122" s="436"/>
      <c r="CE122" s="436"/>
      <c r="CF122" s="436"/>
      <c r="CG122" s="436"/>
      <c r="CH122" s="436"/>
      <c r="CI122" s="436"/>
      <c r="CJ122" s="436"/>
      <c r="CK122" s="436"/>
      <c r="CL122" s="436"/>
      <c r="CM122" s="436"/>
      <c r="CN122" s="436"/>
      <c r="CO122" s="436"/>
      <c r="CP122" s="436"/>
      <c r="CQ122" s="436"/>
      <c r="CR122" s="436"/>
      <c r="CS122" s="436"/>
      <c r="CT122" s="436"/>
      <c r="CU122" s="436"/>
      <c r="CV122" s="436"/>
      <c r="CW122" s="436"/>
      <c r="CX122" s="436"/>
      <c r="CY122" s="436"/>
      <c r="CZ122" s="436"/>
      <c r="DA122" s="436"/>
      <c r="DB122" s="436"/>
      <c r="DC122" s="436"/>
      <c r="DD122" s="436"/>
      <c r="DE122" s="436"/>
      <c r="DF122" s="436"/>
      <c r="DG122" s="436"/>
      <c r="DH122" s="436"/>
      <c r="DI122" s="436"/>
      <c r="DJ122" s="436"/>
      <c r="DK122" s="436"/>
      <c r="DL122" s="436"/>
      <c r="DM122" s="436"/>
      <c r="DN122" s="436"/>
      <c r="DO122" s="436"/>
      <c r="DP122" s="436"/>
      <c r="DQ122" s="436"/>
      <c r="DR122" s="436"/>
      <c r="DS122" s="436"/>
      <c r="DT122" s="436"/>
      <c r="DU122" s="436"/>
      <c r="DV122" s="436"/>
      <c r="DW122" s="436"/>
      <c r="DX122" s="436"/>
      <c r="DY122" s="436"/>
      <c r="DZ122" s="436"/>
      <c r="EA122" s="436"/>
      <c r="EB122" s="436"/>
      <c r="EC122" s="436"/>
      <c r="ED122" s="436"/>
      <c r="EE122" s="436"/>
      <c r="EF122" s="436"/>
      <c r="EG122" s="436"/>
      <c r="EH122" s="436"/>
      <c r="EI122" s="436"/>
      <c r="EJ122" s="436"/>
      <c r="EK122" s="436"/>
      <c r="EL122" s="436"/>
      <c r="EM122" s="436"/>
      <c r="EN122" s="436"/>
      <c r="EO122" s="436"/>
      <c r="EP122" s="436"/>
      <c r="EQ122" s="436"/>
      <c r="ER122" s="436"/>
      <c r="ES122" s="436"/>
      <c r="ET122" s="436"/>
      <c r="EU122" s="436"/>
      <c r="EV122" s="436"/>
      <c r="EW122" s="436"/>
      <c r="EX122" s="436"/>
      <c r="EY122" s="436"/>
      <c r="EZ122" s="436"/>
      <c r="FA122" s="436"/>
      <c r="FB122" s="436"/>
      <c r="FC122" s="436"/>
      <c r="FD122" s="436"/>
      <c r="FE122" s="436"/>
      <c r="FF122" s="436"/>
      <c r="FG122" s="436"/>
      <c r="FH122" s="436"/>
      <c r="FI122" s="436"/>
      <c r="FJ122" s="436"/>
      <c r="FK122" s="436"/>
      <c r="FL122" s="436"/>
      <c r="FM122" s="436"/>
      <c r="FN122" s="436"/>
      <c r="FO122" s="436"/>
      <c r="FP122" s="436"/>
      <c r="FQ122" s="436"/>
      <c r="FR122" s="436"/>
      <c r="FS122" s="436"/>
      <c r="FT122" s="436"/>
      <c r="FU122" s="436"/>
    </row>
    <row r="123" spans="1:177" s="93" customFormat="1" ht="15.75">
      <c r="A123" s="253" t="s">
        <v>45</v>
      </c>
      <c r="B123" s="254" t="s">
        <v>131</v>
      </c>
      <c r="C123" s="255">
        <f aca="true" t="shared" si="24" ref="C123:I123">C124+C125+C126+C127</f>
        <v>12214.83</v>
      </c>
      <c r="D123" s="255">
        <f t="shared" si="24"/>
        <v>0</v>
      </c>
      <c r="E123" s="255">
        <f t="shared" si="24"/>
        <v>8368.05</v>
      </c>
      <c r="F123" s="255">
        <f t="shared" si="24"/>
        <v>54847.28571428572</v>
      </c>
      <c r="G123" s="255">
        <f t="shared" si="24"/>
        <v>110300</v>
      </c>
      <c r="H123" s="255">
        <f t="shared" si="24"/>
        <v>115109.08000000002</v>
      </c>
      <c r="I123" s="255">
        <f t="shared" si="24"/>
        <v>121371.01395200002</v>
      </c>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row>
    <row r="124" spans="1:177" ht="15">
      <c r="A124" s="266" t="s">
        <v>45</v>
      </c>
      <c r="B124" s="267" t="s">
        <v>371</v>
      </c>
      <c r="C124" s="91">
        <v>12214.83</v>
      </c>
      <c r="D124" s="91">
        <v>0</v>
      </c>
      <c r="E124" s="91">
        <v>8368.05</v>
      </c>
      <c r="F124" s="91">
        <f>31994.25/7*12</f>
        <v>54847.28571428572</v>
      </c>
      <c r="G124" s="244">
        <v>110300</v>
      </c>
      <c r="H124" s="268">
        <f>G124*(1+Parâmetros!F21)</f>
        <v>115109.08000000002</v>
      </c>
      <c r="I124" s="268">
        <f>H124*(1+Parâmetros!G21)</f>
        <v>121371.01395200002</v>
      </c>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row>
    <row r="125" spans="1:177" ht="15">
      <c r="A125" s="266" t="s">
        <v>45</v>
      </c>
      <c r="B125" s="267" t="s">
        <v>372</v>
      </c>
      <c r="C125" s="91">
        <v>0</v>
      </c>
      <c r="D125" s="91">
        <v>0</v>
      </c>
      <c r="E125" s="91">
        <v>0</v>
      </c>
      <c r="F125" s="91">
        <v>0</v>
      </c>
      <c r="G125" s="244">
        <f>(((D125*(1+Parâmetros!B11)*(1+Parâmetros!C11)*(1+Parâmetros!D11))+(E125*(1+Parâmetros!C11)*(1+Parâmetros!D11)+(F125*(1+Parâmetros!D11))))/3)*(1+Parâmetros!E21)</f>
        <v>0</v>
      </c>
      <c r="H125" s="268">
        <f>G125*(1+Parâmetros!F21)</f>
        <v>0</v>
      </c>
      <c r="I125" s="268">
        <f>H125*(1+Parâmetros!G21)</f>
        <v>0</v>
      </c>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row>
    <row r="126" spans="1:177" ht="15">
      <c r="A126" s="266" t="s">
        <v>45</v>
      </c>
      <c r="B126" s="267" t="s">
        <v>207</v>
      </c>
      <c r="C126" s="91">
        <v>0</v>
      </c>
      <c r="D126" s="91">
        <v>0</v>
      </c>
      <c r="E126" s="91">
        <v>0</v>
      </c>
      <c r="F126" s="91">
        <v>0</v>
      </c>
      <c r="G126" s="244">
        <f>(((D126*(1+Parâmetros!B11)*(1+Parâmetros!C11)*(1+Parâmetros!D11))+(E126*(1+Parâmetros!C11)*(1+Parâmetros!D11)+(F126*(1+Parâmetros!D11))))/3)*(1+Parâmetros!E21)</f>
        <v>0</v>
      </c>
      <c r="H126" s="268">
        <f>G126*(1+Parâmetros!F21)</f>
        <v>0</v>
      </c>
      <c r="I126" s="268">
        <f>H126*(1+Parâmetros!G21)</f>
        <v>0</v>
      </c>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row>
    <row r="127" spans="1:177" ht="15.75">
      <c r="A127" s="266" t="s">
        <v>614</v>
      </c>
      <c r="B127" s="267" t="s">
        <v>622</v>
      </c>
      <c r="C127" s="91"/>
      <c r="D127" s="91"/>
      <c r="E127" s="91"/>
      <c r="F127" s="91"/>
      <c r="G127" s="244">
        <f>((D127+E127+F127)/3)*(1+Parâmetros!E11)</f>
        <v>0</v>
      </c>
      <c r="H127" s="244">
        <f>((E127+F127+G127)/3)*(1+Parâmetros!F11)</f>
        <v>0</v>
      </c>
      <c r="I127" s="244">
        <f>((F127+G127+H127)/3)*(1+Parâmetros!G11)</f>
        <v>0</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row>
    <row r="128" spans="1:177" s="92" customFormat="1" ht="15.75">
      <c r="A128" s="253" t="s">
        <v>46</v>
      </c>
      <c r="B128" s="254" t="s">
        <v>47</v>
      </c>
      <c r="C128" s="255">
        <f aca="true" t="shared" si="25" ref="C128:I128">C129+C130+C131+C132</f>
        <v>5325748.38</v>
      </c>
      <c r="D128" s="255">
        <f t="shared" si="25"/>
        <v>6505881.06</v>
      </c>
      <c r="E128" s="255">
        <f t="shared" si="25"/>
        <v>6423793.04</v>
      </c>
      <c r="F128" s="255">
        <f t="shared" si="25"/>
        <v>7739331.908571429</v>
      </c>
      <c r="G128" s="255">
        <f t="shared" si="25"/>
        <v>9061885</v>
      </c>
      <c r="H128" s="255">
        <f t="shared" si="25"/>
        <v>10305798.595757734</v>
      </c>
      <c r="I128" s="255">
        <f t="shared" si="25"/>
        <v>12298148.146742685</v>
      </c>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01"/>
      <c r="CH128" s="101"/>
      <c r="CI128" s="101"/>
      <c r="CJ128" s="101"/>
      <c r="CK128" s="101"/>
      <c r="CL128" s="101"/>
      <c r="CM128" s="101"/>
      <c r="CN128" s="101"/>
      <c r="CO128" s="101"/>
      <c r="CP128" s="101"/>
      <c r="CQ128" s="101"/>
      <c r="CR128" s="101"/>
      <c r="CS128" s="101"/>
      <c r="CT128" s="101"/>
      <c r="CU128" s="101"/>
      <c r="CV128" s="101"/>
      <c r="CW128" s="101"/>
      <c r="CX128" s="101"/>
      <c r="CY128" s="101"/>
      <c r="CZ128" s="101"/>
      <c r="DA128" s="101"/>
      <c r="DB128" s="101"/>
      <c r="DC128" s="101"/>
      <c r="DD128" s="101"/>
      <c r="DE128" s="101"/>
      <c r="DF128" s="101"/>
      <c r="DG128" s="101"/>
      <c r="DH128" s="101"/>
      <c r="DI128" s="101"/>
      <c r="DJ128" s="101"/>
      <c r="DK128" s="101"/>
      <c r="DL128" s="101"/>
      <c r="DM128" s="101"/>
      <c r="DN128" s="101"/>
      <c r="DO128" s="101"/>
      <c r="DP128" s="101"/>
      <c r="DQ128" s="101"/>
      <c r="DR128" s="101"/>
      <c r="DS128" s="101"/>
      <c r="DT128" s="101"/>
      <c r="DU128" s="101"/>
      <c r="DV128" s="101"/>
      <c r="DW128" s="101"/>
      <c r="DX128" s="101"/>
      <c r="DY128" s="101"/>
      <c r="DZ128" s="101"/>
      <c r="EA128" s="101"/>
      <c r="EB128" s="101"/>
      <c r="EC128" s="101"/>
      <c r="ED128" s="101"/>
      <c r="EE128" s="101"/>
      <c r="EF128" s="101"/>
      <c r="EG128" s="101"/>
      <c r="EH128" s="101"/>
      <c r="EI128" s="101"/>
      <c r="EJ128" s="101"/>
      <c r="EK128" s="101"/>
      <c r="EL128" s="101"/>
      <c r="EM128" s="101"/>
      <c r="EN128" s="101"/>
      <c r="EO128" s="101"/>
      <c r="EP128" s="101"/>
      <c r="EQ128" s="101"/>
      <c r="ER128" s="101"/>
      <c r="ES128" s="101"/>
      <c r="ET128" s="101"/>
      <c r="EU128" s="101"/>
      <c r="EV128" s="101"/>
      <c r="EW128" s="101"/>
      <c r="EX128" s="101"/>
      <c r="EY128" s="101"/>
      <c r="EZ128" s="101"/>
      <c r="FA128" s="101"/>
      <c r="FB128" s="101"/>
      <c r="FC128" s="101"/>
      <c r="FD128" s="101"/>
      <c r="FE128" s="101"/>
      <c r="FF128" s="101"/>
      <c r="FG128" s="101"/>
      <c r="FH128" s="101"/>
      <c r="FI128" s="101"/>
      <c r="FJ128" s="101"/>
      <c r="FK128" s="101"/>
      <c r="FL128" s="101"/>
      <c r="FM128" s="101"/>
      <c r="FN128" s="101"/>
      <c r="FO128" s="101"/>
      <c r="FP128" s="101"/>
      <c r="FQ128" s="101"/>
      <c r="FR128" s="101"/>
      <c r="FS128" s="101"/>
      <c r="FT128" s="101"/>
      <c r="FU128" s="101"/>
    </row>
    <row r="129" spans="1:177" s="8" customFormat="1" ht="15">
      <c r="A129" s="266" t="s">
        <v>46</v>
      </c>
      <c r="B129" s="267" t="s">
        <v>373</v>
      </c>
      <c r="C129" s="86">
        <v>5134611.49</v>
      </c>
      <c r="D129" s="86">
        <v>6265056.31</v>
      </c>
      <c r="E129" s="86">
        <v>6258348.29</v>
      </c>
      <c r="F129" s="86">
        <f>4396632.49/7*12</f>
        <v>7537084.268571429</v>
      </c>
      <c r="G129" s="244">
        <v>8722947.28</v>
      </c>
      <c r="H129" s="268">
        <f>G129*(1+Parâmetros!F11)*(1+Parâmetros!F14)</f>
        <v>9920335.31975883</v>
      </c>
      <c r="I129" s="268">
        <f>H129*(1+Parâmetros!G11)*(1+Parâmetros!G14)</f>
        <v>11838165.892158877</v>
      </c>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c r="EU129" s="101"/>
      <c r="EV129" s="101"/>
      <c r="EW129" s="101"/>
      <c r="EX129" s="101"/>
      <c r="EY129" s="101"/>
      <c r="EZ129" s="101"/>
      <c r="FA129" s="101"/>
      <c r="FB129" s="101"/>
      <c r="FC129" s="101"/>
      <c r="FD129" s="101"/>
      <c r="FE129" s="101"/>
      <c r="FF129" s="101"/>
      <c r="FG129" s="101"/>
      <c r="FH129" s="101"/>
      <c r="FI129" s="101"/>
      <c r="FJ129" s="101"/>
      <c r="FK129" s="101"/>
      <c r="FL129" s="101"/>
      <c r="FM129" s="101"/>
      <c r="FN129" s="101"/>
      <c r="FO129" s="101"/>
      <c r="FP129" s="101"/>
      <c r="FQ129" s="101"/>
      <c r="FR129" s="101"/>
      <c r="FS129" s="101"/>
      <c r="FT129" s="101"/>
      <c r="FU129" s="101"/>
    </row>
    <row r="130" spans="1:177" s="8" customFormat="1" ht="15">
      <c r="A130" s="266" t="s">
        <v>46</v>
      </c>
      <c r="B130" s="267" t="s">
        <v>374</v>
      </c>
      <c r="C130" s="91">
        <v>191136.89</v>
      </c>
      <c r="D130" s="91">
        <v>240824.75</v>
      </c>
      <c r="E130" s="91">
        <v>165444.75</v>
      </c>
      <c r="F130" s="91">
        <f>117977.79/7*12</f>
        <v>202247.63999999996</v>
      </c>
      <c r="G130" s="244">
        <v>338937.72</v>
      </c>
      <c r="H130" s="268">
        <f>G130*(1+Parâmetros!F11)*(1+Parâmetros!F14)</f>
        <v>385463.275998904</v>
      </c>
      <c r="I130" s="268">
        <f>H130*(1+Parâmetros!G11)*(1+Parâmetros!G14)</f>
        <v>459982.25458380795</v>
      </c>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c r="EU130" s="101"/>
      <c r="EV130" s="101"/>
      <c r="EW130" s="101"/>
      <c r="EX130" s="101"/>
      <c r="EY130" s="101"/>
      <c r="EZ130" s="101"/>
      <c r="FA130" s="101"/>
      <c r="FB130" s="101"/>
      <c r="FC130" s="101"/>
      <c r="FD130" s="101"/>
      <c r="FE130" s="101"/>
      <c r="FF130" s="101"/>
      <c r="FG130" s="101"/>
      <c r="FH130" s="101"/>
      <c r="FI130" s="101"/>
      <c r="FJ130" s="101"/>
      <c r="FK130" s="101"/>
      <c r="FL130" s="101"/>
      <c r="FM130" s="101"/>
      <c r="FN130" s="101"/>
      <c r="FO130" s="101"/>
      <c r="FP130" s="101"/>
      <c r="FQ130" s="101"/>
      <c r="FR130" s="101"/>
      <c r="FS130" s="101"/>
      <c r="FT130" s="101"/>
      <c r="FU130" s="101"/>
    </row>
    <row r="131" spans="1:177" s="8" customFormat="1" ht="15">
      <c r="A131" s="266" t="s">
        <v>46</v>
      </c>
      <c r="B131" s="267" t="s">
        <v>375</v>
      </c>
      <c r="C131" s="91">
        <v>0</v>
      </c>
      <c r="D131" s="91">
        <v>0</v>
      </c>
      <c r="E131" s="91">
        <v>0</v>
      </c>
      <c r="F131" s="91">
        <v>0</v>
      </c>
      <c r="G131" s="244">
        <f>(((D131*(1+Parâmetros!B11)*(1+Parâmetros!C11)*(1+Parâmetros!D11))+(E131*(1+Parâmetros!C11)*(1+Parâmetros!D11)+(F131*(1+Parâmetros!D11))))/3)*(1+Parâmetros!E11)*(1+Parâmetros!E14)</f>
        <v>0</v>
      </c>
      <c r="H131" s="268">
        <f>G131*(1+Parâmetros!F11)*(1+Parâmetros!F14)</f>
        <v>0</v>
      </c>
      <c r="I131" s="268">
        <f>H131*(1+Parâmetros!G11)*(1+Parâmetros!G14)</f>
        <v>0</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c r="EU131" s="101"/>
      <c r="EV131" s="101"/>
      <c r="EW131" s="101"/>
      <c r="EX131" s="101"/>
      <c r="EY131" s="101"/>
      <c r="EZ131" s="101"/>
      <c r="FA131" s="101"/>
      <c r="FB131" s="101"/>
      <c r="FC131" s="101"/>
      <c r="FD131" s="101"/>
      <c r="FE131" s="101"/>
      <c r="FF131" s="101"/>
      <c r="FG131" s="101"/>
      <c r="FH131" s="101"/>
      <c r="FI131" s="101"/>
      <c r="FJ131" s="101"/>
      <c r="FK131" s="101"/>
      <c r="FL131" s="101"/>
      <c r="FM131" s="101"/>
      <c r="FN131" s="101"/>
      <c r="FO131" s="101"/>
      <c r="FP131" s="101"/>
      <c r="FQ131" s="101"/>
      <c r="FR131" s="101"/>
      <c r="FS131" s="101"/>
      <c r="FT131" s="101"/>
      <c r="FU131" s="101"/>
    </row>
    <row r="132" spans="1:177" s="8" customFormat="1" ht="15.75">
      <c r="A132" s="266" t="s">
        <v>615</v>
      </c>
      <c r="B132" s="267" t="s">
        <v>623</v>
      </c>
      <c r="C132" s="91"/>
      <c r="D132" s="91"/>
      <c r="E132" s="91"/>
      <c r="F132" s="91"/>
      <c r="G132" s="244">
        <f>((D132+E132+F132)/3)*(1+Parâmetros!E11)</f>
        <v>0</v>
      </c>
      <c r="H132" s="244">
        <f>((E132+F132+G132)/3)*(1+Parâmetros!F11)</f>
        <v>0</v>
      </c>
      <c r="I132" s="244">
        <f>((F132+G132+H132)/3)*(1+Parâmetros!G11)</f>
        <v>0</v>
      </c>
      <c r="J132" s="101"/>
      <c r="K132" s="438" t="s">
        <v>619</v>
      </c>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c r="EU132" s="101"/>
      <c r="EV132" s="101"/>
      <c r="EW132" s="101"/>
      <c r="EX132" s="101"/>
      <c r="EY132" s="101"/>
      <c r="EZ132" s="101"/>
      <c r="FA132" s="101"/>
      <c r="FB132" s="101"/>
      <c r="FC132" s="101"/>
      <c r="FD132" s="101"/>
      <c r="FE132" s="101"/>
      <c r="FF132" s="101"/>
      <c r="FG132" s="101"/>
      <c r="FH132" s="101"/>
      <c r="FI132" s="101"/>
      <c r="FJ132" s="101"/>
      <c r="FK132" s="101"/>
      <c r="FL132" s="101"/>
      <c r="FM132" s="101"/>
      <c r="FN132" s="101"/>
      <c r="FO132" s="101"/>
      <c r="FP132" s="101"/>
      <c r="FQ132" s="101"/>
      <c r="FR132" s="101"/>
      <c r="FS132" s="101"/>
      <c r="FT132" s="101"/>
      <c r="FU132" s="101"/>
    </row>
    <row r="133" spans="1:177" s="92" customFormat="1" ht="15.75">
      <c r="A133" s="253" t="s">
        <v>48</v>
      </c>
      <c r="B133" s="254" t="s">
        <v>2</v>
      </c>
      <c r="C133" s="255">
        <f aca="true" t="shared" si="26" ref="C133:I133">C134+C139+C144</f>
        <v>1353702.4300000002</v>
      </c>
      <c r="D133" s="255">
        <f t="shared" si="26"/>
        <v>490920.88999999996</v>
      </c>
      <c r="E133" s="255">
        <f t="shared" si="26"/>
        <v>1872278.33</v>
      </c>
      <c r="F133" s="255">
        <f t="shared" si="26"/>
        <v>387024.9877380953</v>
      </c>
      <c r="G133" s="255">
        <f t="shared" si="26"/>
        <v>733300</v>
      </c>
      <c r="H133" s="255">
        <f t="shared" si="26"/>
        <v>-708599.4344892399</v>
      </c>
      <c r="I133" s="255">
        <f t="shared" si="26"/>
        <v>-3213565.2257655016</v>
      </c>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1"/>
      <c r="DQ133" s="101"/>
      <c r="DR133" s="101"/>
      <c r="DS133" s="101"/>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01"/>
      <c r="ER133" s="101"/>
      <c r="ES133" s="101"/>
      <c r="ET133" s="101"/>
      <c r="EU133" s="101"/>
      <c r="EV133" s="101"/>
      <c r="EW133" s="101"/>
      <c r="EX133" s="101"/>
      <c r="EY133" s="101"/>
      <c r="EZ133" s="101"/>
      <c r="FA133" s="101"/>
      <c r="FB133" s="101"/>
      <c r="FC133" s="101"/>
      <c r="FD133" s="101"/>
      <c r="FE133" s="101"/>
      <c r="FF133" s="101"/>
      <c r="FG133" s="101"/>
      <c r="FH133" s="101"/>
      <c r="FI133" s="101"/>
      <c r="FJ133" s="101"/>
      <c r="FK133" s="101"/>
      <c r="FL133" s="101"/>
      <c r="FM133" s="101"/>
      <c r="FN133" s="101"/>
      <c r="FO133" s="101"/>
      <c r="FP133" s="101"/>
      <c r="FQ133" s="101"/>
      <c r="FR133" s="101"/>
      <c r="FS133" s="101"/>
      <c r="FT133" s="101"/>
      <c r="FU133" s="101"/>
    </row>
    <row r="134" spans="1:177" s="92" customFormat="1" ht="15.75">
      <c r="A134" s="253" t="s">
        <v>49</v>
      </c>
      <c r="B134" s="254" t="s">
        <v>3</v>
      </c>
      <c r="C134" s="255">
        <f aca="true" t="shared" si="27" ref="C134:I134">C135+C136+C137+C138</f>
        <v>1047362.15</v>
      </c>
      <c r="D134" s="255">
        <f t="shared" si="27"/>
        <v>467534.85</v>
      </c>
      <c r="E134" s="255">
        <f t="shared" si="27"/>
        <v>1854368.51</v>
      </c>
      <c r="F134" s="255">
        <f t="shared" si="27"/>
        <v>386856.72000000003</v>
      </c>
      <c r="G134" s="255">
        <f t="shared" si="27"/>
        <v>580700</v>
      </c>
      <c r="H134" s="255">
        <f t="shared" si="27"/>
        <v>-866226.75448924</v>
      </c>
      <c r="I134" s="255">
        <f t="shared" si="27"/>
        <v>-3376457.8502055015</v>
      </c>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c r="EU134" s="101"/>
      <c r="EV134" s="101"/>
      <c r="EW134" s="101"/>
      <c r="EX134" s="101"/>
      <c r="EY134" s="101"/>
      <c r="EZ134" s="101"/>
      <c r="FA134" s="101"/>
      <c r="FB134" s="101"/>
      <c r="FC134" s="101"/>
      <c r="FD134" s="101"/>
      <c r="FE134" s="101"/>
      <c r="FF134" s="101"/>
      <c r="FG134" s="101"/>
      <c r="FH134" s="101"/>
      <c r="FI134" s="101"/>
      <c r="FJ134" s="101"/>
      <c r="FK134" s="101"/>
      <c r="FL134" s="101"/>
      <c r="FM134" s="101"/>
      <c r="FN134" s="101"/>
      <c r="FO134" s="101"/>
      <c r="FP134" s="101"/>
      <c r="FQ134" s="101"/>
      <c r="FR134" s="101"/>
      <c r="FS134" s="101"/>
      <c r="FT134" s="101"/>
      <c r="FU134" s="101"/>
    </row>
    <row r="135" spans="1:177" s="8" customFormat="1" ht="15">
      <c r="A135" s="266" t="s">
        <v>49</v>
      </c>
      <c r="B135" s="267" t="s">
        <v>376</v>
      </c>
      <c r="C135" s="86">
        <v>1042500.35</v>
      </c>
      <c r="D135" s="86">
        <v>453534.85</v>
      </c>
      <c r="E135" s="86">
        <v>1836539.51</v>
      </c>
      <c r="F135" s="86">
        <f>220585.42/7*12</f>
        <v>378146.4342857143</v>
      </c>
      <c r="G135" s="244">
        <v>465500</v>
      </c>
      <c r="H135" s="268">
        <f>G135*(1+Parâmetros!F11)*(1+Parâmetros!F20)-2004173.73</f>
        <v>-1091974.1138466354</v>
      </c>
      <c r="I135" s="268">
        <f>H135*(1+Parâmetros!G11)*(1+Parâmetros!G20)-2282684.4</f>
        <v>-3661506.155212787</v>
      </c>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row>
    <row r="136" spans="1:177" s="8" customFormat="1" ht="15">
      <c r="A136" s="266" t="s">
        <v>49</v>
      </c>
      <c r="B136" s="267" t="s">
        <v>377</v>
      </c>
      <c r="C136" s="91">
        <v>4861.8</v>
      </c>
      <c r="D136" s="91">
        <v>14000</v>
      </c>
      <c r="E136" s="91">
        <v>17829</v>
      </c>
      <c r="F136" s="91">
        <f>5081/7*12</f>
        <v>8710.285714285714</v>
      </c>
      <c r="G136" s="244">
        <v>115200</v>
      </c>
      <c r="H136" s="268">
        <f>G136*(1+Parâmetros!F11)*(1+Parâmetros!F20)</f>
        <v>225747.3593573955</v>
      </c>
      <c r="I136" s="268">
        <f>H136*(1+Parâmetros!G11)*(1+Parâmetros!G20)</f>
        <v>285048.3050072854</v>
      </c>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c r="EU136" s="101"/>
      <c r="EV136" s="101"/>
      <c r="EW136" s="101"/>
      <c r="EX136" s="101"/>
      <c r="EY136" s="101"/>
      <c r="EZ136" s="101"/>
      <c r="FA136" s="101"/>
      <c r="FB136" s="101"/>
      <c r="FC136" s="101"/>
      <c r="FD136" s="101"/>
      <c r="FE136" s="101"/>
      <c r="FF136" s="101"/>
      <c r="FG136" s="101"/>
      <c r="FH136" s="101"/>
      <c r="FI136" s="101"/>
      <c r="FJ136" s="101"/>
      <c r="FK136" s="101"/>
      <c r="FL136" s="101"/>
      <c r="FM136" s="101"/>
      <c r="FN136" s="101"/>
      <c r="FO136" s="101"/>
      <c r="FP136" s="101"/>
      <c r="FQ136" s="101"/>
      <c r="FR136" s="101"/>
      <c r="FS136" s="101"/>
      <c r="FT136" s="101"/>
      <c r="FU136" s="101"/>
    </row>
    <row r="137" spans="1:177" s="8" customFormat="1" ht="15">
      <c r="A137" s="266" t="s">
        <v>49</v>
      </c>
      <c r="B137" s="267" t="s">
        <v>208</v>
      </c>
      <c r="C137" s="91">
        <v>0</v>
      </c>
      <c r="D137" s="91">
        <v>0</v>
      </c>
      <c r="E137" s="91">
        <v>0</v>
      </c>
      <c r="F137" s="91">
        <v>0</v>
      </c>
      <c r="G137" s="244">
        <f>(((D137*(1+Parâmetros!B11)*(1+Parâmetros!C11)*(1+Parâmetros!D11))+(E137*(1+Parâmetros!C11)*(1+Parâmetros!D11)+(F137*(1+Parâmetros!D11))))/3)*(1+Parâmetros!E11)*(1+Parâmetros!E20)</f>
        <v>0</v>
      </c>
      <c r="H137" s="268">
        <f>G137*(1+Parâmetros!F11)*(1+Parâmetros!F20)</f>
        <v>0</v>
      </c>
      <c r="I137" s="268">
        <f>H137*(1+Parâmetros!G11)*(1+Parâmetros!G20)</f>
        <v>0</v>
      </c>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01"/>
      <c r="CE137" s="101"/>
      <c r="CF137" s="101"/>
      <c r="CG137" s="101"/>
      <c r="CH137" s="101"/>
      <c r="CI137" s="101"/>
      <c r="CJ137" s="101"/>
      <c r="CK137" s="101"/>
      <c r="CL137" s="101"/>
      <c r="CM137" s="101"/>
      <c r="CN137" s="101"/>
      <c r="CO137" s="101"/>
      <c r="CP137" s="101"/>
      <c r="CQ137" s="101"/>
      <c r="CR137" s="101"/>
      <c r="CS137" s="101"/>
      <c r="CT137" s="101"/>
      <c r="CU137" s="101"/>
      <c r="CV137" s="101"/>
      <c r="CW137" s="101"/>
      <c r="CX137" s="101"/>
      <c r="CY137" s="101"/>
      <c r="CZ137" s="101"/>
      <c r="DA137" s="101"/>
      <c r="DB137" s="101"/>
      <c r="DC137" s="101"/>
      <c r="DD137" s="101"/>
      <c r="DE137" s="101"/>
      <c r="DF137" s="101"/>
      <c r="DG137" s="101"/>
      <c r="DH137" s="101"/>
      <c r="DI137" s="101"/>
      <c r="DJ137" s="101"/>
      <c r="DK137" s="101"/>
      <c r="DL137" s="101"/>
      <c r="DM137" s="101"/>
      <c r="DN137" s="101"/>
      <c r="DO137" s="101"/>
      <c r="DP137" s="101"/>
      <c r="DQ137" s="101"/>
      <c r="DR137" s="101"/>
      <c r="DS137" s="101"/>
      <c r="DT137" s="101"/>
      <c r="DU137" s="101"/>
      <c r="DV137" s="101"/>
      <c r="DW137" s="101"/>
      <c r="DX137" s="101"/>
      <c r="DY137" s="101"/>
      <c r="DZ137" s="101"/>
      <c r="EA137" s="101"/>
      <c r="EB137" s="101"/>
      <c r="EC137" s="101"/>
      <c r="ED137" s="101"/>
      <c r="EE137" s="101"/>
      <c r="EF137" s="101"/>
      <c r="EG137" s="101"/>
      <c r="EH137" s="101"/>
      <c r="EI137" s="101"/>
      <c r="EJ137" s="101"/>
      <c r="EK137" s="101"/>
      <c r="EL137" s="101"/>
      <c r="EM137" s="101"/>
      <c r="EN137" s="101"/>
      <c r="EO137" s="101"/>
      <c r="EP137" s="101"/>
      <c r="EQ137" s="101"/>
      <c r="ER137" s="101"/>
      <c r="ES137" s="101"/>
      <c r="ET137" s="101"/>
      <c r="EU137" s="101"/>
      <c r="EV137" s="101"/>
      <c r="EW137" s="101"/>
      <c r="EX137" s="101"/>
      <c r="EY137" s="101"/>
      <c r="EZ137" s="101"/>
      <c r="FA137" s="101"/>
      <c r="FB137" s="101"/>
      <c r="FC137" s="101"/>
      <c r="FD137" s="101"/>
      <c r="FE137" s="101"/>
      <c r="FF137" s="101"/>
      <c r="FG137" s="101"/>
      <c r="FH137" s="101"/>
      <c r="FI137" s="101"/>
      <c r="FJ137" s="101"/>
      <c r="FK137" s="101"/>
      <c r="FL137" s="101"/>
      <c r="FM137" s="101"/>
      <c r="FN137" s="101"/>
      <c r="FO137" s="101"/>
      <c r="FP137" s="101"/>
      <c r="FQ137" s="101"/>
      <c r="FR137" s="101"/>
      <c r="FS137" s="101"/>
      <c r="FT137" s="101"/>
      <c r="FU137" s="101"/>
    </row>
    <row r="138" spans="1:177" s="8" customFormat="1" ht="15.75">
      <c r="A138" s="266" t="s">
        <v>616</v>
      </c>
      <c r="B138" s="267" t="s">
        <v>624</v>
      </c>
      <c r="C138" s="91"/>
      <c r="D138" s="91"/>
      <c r="E138" s="91"/>
      <c r="F138" s="91"/>
      <c r="G138" s="244">
        <f>((D138+E138+F138)/3)*(1+Parâmetros!E11)</f>
        <v>0</v>
      </c>
      <c r="H138" s="244">
        <f>((E138+F138+G138)/3)*(1+Parâmetros!F11)</f>
        <v>0</v>
      </c>
      <c r="I138" s="244">
        <f>((F138+G138+H138)/3)*(1+Parâmetros!G11)</f>
        <v>0</v>
      </c>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c r="CJ138" s="101"/>
      <c r="CK138" s="101"/>
      <c r="CL138" s="101"/>
      <c r="CM138" s="101"/>
      <c r="CN138" s="101"/>
      <c r="CO138" s="101"/>
      <c r="CP138" s="101"/>
      <c r="CQ138" s="101"/>
      <c r="CR138" s="101"/>
      <c r="CS138" s="101"/>
      <c r="CT138" s="101"/>
      <c r="CU138" s="101"/>
      <c r="CV138" s="101"/>
      <c r="CW138" s="101"/>
      <c r="CX138" s="101"/>
      <c r="CY138" s="101"/>
      <c r="CZ138" s="101"/>
      <c r="DA138" s="101"/>
      <c r="DB138" s="101"/>
      <c r="DC138" s="101"/>
      <c r="DD138" s="101"/>
      <c r="DE138" s="101"/>
      <c r="DF138" s="101"/>
      <c r="DG138" s="101"/>
      <c r="DH138" s="101"/>
      <c r="DI138" s="101"/>
      <c r="DJ138" s="101"/>
      <c r="DK138" s="101"/>
      <c r="DL138" s="101"/>
      <c r="DM138" s="101"/>
      <c r="DN138" s="101"/>
      <c r="DO138" s="101"/>
      <c r="DP138" s="101"/>
      <c r="DQ138" s="101"/>
      <c r="DR138" s="101"/>
      <c r="DS138" s="101"/>
      <c r="DT138" s="101"/>
      <c r="DU138" s="101"/>
      <c r="DV138" s="101"/>
      <c r="DW138" s="101"/>
      <c r="DX138" s="101"/>
      <c r="DY138" s="101"/>
      <c r="DZ138" s="101"/>
      <c r="EA138" s="101"/>
      <c r="EB138" s="101"/>
      <c r="EC138" s="101"/>
      <c r="ED138" s="101"/>
      <c r="EE138" s="101"/>
      <c r="EF138" s="101"/>
      <c r="EG138" s="101"/>
      <c r="EH138" s="101"/>
      <c r="EI138" s="101"/>
      <c r="EJ138" s="101"/>
      <c r="EK138" s="101"/>
      <c r="EL138" s="101"/>
      <c r="EM138" s="101"/>
      <c r="EN138" s="101"/>
      <c r="EO138" s="101"/>
      <c r="EP138" s="101"/>
      <c r="EQ138" s="101"/>
      <c r="ER138" s="101"/>
      <c r="ES138" s="101"/>
      <c r="ET138" s="101"/>
      <c r="EU138" s="101"/>
      <c r="EV138" s="101"/>
      <c r="EW138" s="101"/>
      <c r="EX138" s="101"/>
      <c r="EY138" s="101"/>
      <c r="EZ138" s="101"/>
      <c r="FA138" s="101"/>
      <c r="FB138" s="101"/>
      <c r="FC138" s="101"/>
      <c r="FD138" s="101"/>
      <c r="FE138" s="101"/>
      <c r="FF138" s="101"/>
      <c r="FG138" s="101"/>
      <c r="FH138" s="101"/>
      <c r="FI138" s="101"/>
      <c r="FJ138" s="101"/>
      <c r="FK138" s="101"/>
      <c r="FL138" s="101"/>
      <c r="FM138" s="101"/>
      <c r="FN138" s="101"/>
      <c r="FO138" s="101"/>
      <c r="FP138" s="101"/>
      <c r="FQ138" s="101"/>
      <c r="FR138" s="101"/>
      <c r="FS138" s="101"/>
      <c r="FT138" s="101"/>
      <c r="FU138" s="101"/>
    </row>
    <row r="139" spans="1:177" s="92" customFormat="1" ht="15.75">
      <c r="A139" s="253" t="s">
        <v>50</v>
      </c>
      <c r="B139" s="254" t="s">
        <v>4</v>
      </c>
      <c r="C139" s="255">
        <f aca="true" t="shared" si="28" ref="C139:I139">C140+C141+C142+C143</f>
        <v>0</v>
      </c>
      <c r="D139" s="255">
        <f t="shared" si="28"/>
        <v>0</v>
      </c>
      <c r="E139" s="255">
        <f t="shared" si="28"/>
        <v>0</v>
      </c>
      <c r="F139" s="255">
        <f t="shared" si="28"/>
        <v>0</v>
      </c>
      <c r="G139" s="255">
        <f t="shared" si="28"/>
        <v>300</v>
      </c>
      <c r="H139" s="255">
        <f t="shared" si="28"/>
        <v>103.43</v>
      </c>
      <c r="I139" s="255">
        <f t="shared" si="28"/>
        <v>138.94129199999998</v>
      </c>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1"/>
      <c r="DJ139" s="101"/>
      <c r="DK139" s="101"/>
      <c r="DL139" s="101"/>
      <c r="DM139" s="101"/>
      <c r="DN139" s="101"/>
      <c r="DO139" s="101"/>
      <c r="DP139" s="101"/>
      <c r="DQ139" s="101"/>
      <c r="DR139" s="101"/>
      <c r="DS139" s="101"/>
      <c r="DT139" s="101"/>
      <c r="DU139" s="101"/>
      <c r="DV139" s="101"/>
      <c r="DW139" s="101"/>
      <c r="DX139" s="101"/>
      <c r="DY139" s="101"/>
      <c r="DZ139" s="101"/>
      <c r="EA139" s="101"/>
      <c r="EB139" s="101"/>
      <c r="EC139" s="101"/>
      <c r="ED139" s="101"/>
      <c r="EE139" s="101"/>
      <c r="EF139" s="101"/>
      <c r="EG139" s="101"/>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c r="FD139" s="101"/>
      <c r="FE139" s="101"/>
      <c r="FF139" s="101"/>
      <c r="FG139" s="101"/>
      <c r="FH139" s="101"/>
      <c r="FI139" s="101"/>
      <c r="FJ139" s="101"/>
      <c r="FK139" s="101"/>
      <c r="FL139" s="101"/>
      <c r="FM139" s="101"/>
      <c r="FN139" s="101"/>
      <c r="FO139" s="101"/>
      <c r="FP139" s="101"/>
      <c r="FQ139" s="101"/>
      <c r="FR139" s="101"/>
      <c r="FS139" s="101"/>
      <c r="FT139" s="101"/>
      <c r="FU139" s="101"/>
    </row>
    <row r="140" spans="1:177" ht="15">
      <c r="A140" s="266" t="s">
        <v>51</v>
      </c>
      <c r="B140" s="269" t="s">
        <v>52</v>
      </c>
      <c r="C140" s="91">
        <v>0</v>
      </c>
      <c r="D140" s="91">
        <v>0</v>
      </c>
      <c r="E140" s="91">
        <v>0</v>
      </c>
      <c r="F140" s="91">
        <v>0</v>
      </c>
      <c r="G140" s="244">
        <f>(((D140*(1+Parâmetros!B11)*(1+Parâmetros!C11)*(1+Parâmetros!D11))+(E140*(1+Parâmetros!C11)*(1+Parâmetros!D11)+(F140*(1+Parâmetros!D11))))/3)*(1+Parâmetros!E11)</f>
        <v>0</v>
      </c>
      <c r="H140" s="268">
        <f>G140*(1+Parâmetros!F11)</f>
        <v>0</v>
      </c>
      <c r="I140" s="268">
        <f>H140*(1+Parâmetros!G11)</f>
        <v>0</v>
      </c>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row>
    <row r="141" spans="1:177" ht="15">
      <c r="A141" s="266" t="s">
        <v>378</v>
      </c>
      <c r="B141" s="269" t="s">
        <v>379</v>
      </c>
      <c r="C141" s="91">
        <v>0</v>
      </c>
      <c r="D141" s="91">
        <v>0</v>
      </c>
      <c r="E141" s="91">
        <v>0</v>
      </c>
      <c r="F141" s="91">
        <v>0</v>
      </c>
      <c r="G141" s="244">
        <f>(((D141*(1+Parâmetros!B11)*(1+Parâmetros!C11)*(1+Parâmetros!D11))+(E141*(1+Parâmetros!C11)*(1+Parâmetros!D11)+(F141*(1+Parâmetros!D11))))/3)*(1+Parâmetros!E11)</f>
        <v>0</v>
      </c>
      <c r="H141" s="268">
        <f>G141*(1+Parâmetros!F11)</f>
        <v>0</v>
      </c>
      <c r="I141" s="268">
        <f>H141*(1+Parâmetros!G11)</f>
        <v>0</v>
      </c>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row>
    <row r="142" spans="1:177" ht="15">
      <c r="A142" s="266" t="s">
        <v>378</v>
      </c>
      <c r="B142" s="269" t="s">
        <v>380</v>
      </c>
      <c r="C142" s="91">
        <v>0</v>
      </c>
      <c r="D142" s="91">
        <v>0</v>
      </c>
      <c r="E142" s="91">
        <v>0</v>
      </c>
      <c r="F142" s="91">
        <v>0</v>
      </c>
      <c r="G142" s="244">
        <f>(((D142*(1+Parâmetros!B11)*(1+Parâmetros!C11)*(1+Parâmetros!D11))+(E142*(1+Parâmetros!C11)*(1+Parâmetros!D11)+(F142*(1+Parâmetros!D11))))/3)*(1+Parâmetros!E11)</f>
        <v>0</v>
      </c>
      <c r="H142" s="268">
        <f>G142*(1+Parâmetros!F11)</f>
        <v>0</v>
      </c>
      <c r="I142" s="268">
        <f>H142*(1+Parâmetros!G11)</f>
        <v>0</v>
      </c>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row>
    <row r="143" spans="1:177" ht="15.75">
      <c r="A143" s="266" t="s">
        <v>617</v>
      </c>
      <c r="B143" s="269" t="s">
        <v>625</v>
      </c>
      <c r="C143" s="91"/>
      <c r="D143" s="91"/>
      <c r="E143" s="91"/>
      <c r="F143" s="91"/>
      <c r="G143" s="244">
        <v>300</v>
      </c>
      <c r="H143" s="244">
        <f>((E143+F143+G143)/3)*(1+Parâmetros!F11)</f>
        <v>103.43</v>
      </c>
      <c r="I143" s="244">
        <f>((F143+G143+H143)/3)*(1+Parâmetros!G11)</f>
        <v>138.94129199999998</v>
      </c>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row>
    <row r="144" spans="1:177" s="92" customFormat="1" ht="15.75">
      <c r="A144" s="253" t="s">
        <v>53</v>
      </c>
      <c r="B144" s="254" t="s">
        <v>54</v>
      </c>
      <c r="C144" s="255">
        <f aca="true" t="shared" si="29" ref="C144:I144">C145+C146+C147+C148</f>
        <v>306340.28</v>
      </c>
      <c r="D144" s="255">
        <f t="shared" si="29"/>
        <v>23386.04</v>
      </c>
      <c r="E144" s="255">
        <f t="shared" si="29"/>
        <v>17909.82</v>
      </c>
      <c r="F144" s="255">
        <f t="shared" si="29"/>
        <v>168.2677380952381</v>
      </c>
      <c r="G144" s="255">
        <f t="shared" si="29"/>
        <v>152300</v>
      </c>
      <c r="H144" s="255">
        <f t="shared" si="29"/>
        <v>157523.89</v>
      </c>
      <c r="I144" s="255">
        <f t="shared" si="29"/>
        <v>162753.683148</v>
      </c>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row>
    <row r="145" spans="1:177" s="8" customFormat="1" ht="15">
      <c r="A145" s="266" t="s">
        <v>53</v>
      </c>
      <c r="B145" s="269" t="s">
        <v>381</v>
      </c>
      <c r="C145" s="91">
        <v>306340.28</v>
      </c>
      <c r="D145" s="91">
        <v>23386.04</v>
      </c>
      <c r="E145" s="91">
        <v>17909.82</v>
      </c>
      <c r="F145" s="91">
        <f>14134.49/7/12</f>
        <v>168.2677380952381</v>
      </c>
      <c r="G145" s="244">
        <v>152300</v>
      </c>
      <c r="H145" s="268">
        <f>G145*(1+Parâmetros!F11)</f>
        <v>157523.89</v>
      </c>
      <c r="I145" s="268">
        <f>H145*(1+Parâmetros!G11)</f>
        <v>162753.683148</v>
      </c>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row>
    <row r="146" spans="1:177" s="8" customFormat="1" ht="15">
      <c r="A146" s="266" t="s">
        <v>53</v>
      </c>
      <c r="B146" s="269" t="s">
        <v>382</v>
      </c>
      <c r="C146" s="91">
        <v>0</v>
      </c>
      <c r="D146" s="91">
        <v>0</v>
      </c>
      <c r="E146" s="91">
        <v>0</v>
      </c>
      <c r="F146" s="91">
        <v>0</v>
      </c>
      <c r="G146" s="244">
        <f>(((D146*(1+Parâmetros!B11)*(1+Parâmetros!C11)*(1+Parâmetros!D11))+(E146*(1+Parâmetros!C11)*(1+Parâmetros!D11)+(F146*(1+Parâmetros!D11))))/3)*(1+Parâmetros!E11)</f>
        <v>0</v>
      </c>
      <c r="H146" s="268">
        <f>G146*(1+Parâmetros!F11)</f>
        <v>0</v>
      </c>
      <c r="I146" s="268">
        <f>H146*(1+Parâmetros!G11)</f>
        <v>0</v>
      </c>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row>
    <row r="147" spans="1:177" s="8" customFormat="1" ht="15">
      <c r="A147" s="266" t="s">
        <v>53</v>
      </c>
      <c r="B147" s="269" t="s">
        <v>383</v>
      </c>
      <c r="C147" s="91">
        <v>0</v>
      </c>
      <c r="D147" s="91">
        <v>0</v>
      </c>
      <c r="E147" s="91">
        <v>0</v>
      </c>
      <c r="F147" s="91">
        <v>0</v>
      </c>
      <c r="G147" s="244">
        <f>(((D147*(1+Parâmetros!B11)*(1+Parâmetros!C11)*(1+Parâmetros!D11))+(E147*(1+Parâmetros!C11)*(1+Parâmetros!D11)+(F147*(1+Parâmetros!D11))))/3)*(1+Parâmetros!E11)</f>
        <v>0</v>
      </c>
      <c r="H147" s="268">
        <f>G147*(1+Parâmetros!F11)</f>
        <v>0</v>
      </c>
      <c r="I147" s="268">
        <f>H147*(1+Parâmetros!G11)</f>
        <v>0</v>
      </c>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row>
    <row r="148" spans="1:177" s="8" customFormat="1" ht="15.75">
      <c r="A148" s="266" t="s">
        <v>618</v>
      </c>
      <c r="B148" s="269" t="s">
        <v>626</v>
      </c>
      <c r="C148" s="91"/>
      <c r="D148" s="91"/>
      <c r="E148" s="91"/>
      <c r="F148" s="91"/>
      <c r="G148" s="244">
        <f>((D148+E148+F148)/3)*(1+Parâmetros!E11)</f>
        <v>0</v>
      </c>
      <c r="H148" s="244">
        <f>((E148+F148+G148)/3)*(1+Parâmetros!F11)</f>
        <v>0</v>
      </c>
      <c r="I148" s="244">
        <f>((F148+G148+H148)/3)*(1+Parâmetros!G11)</f>
        <v>0</v>
      </c>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row>
    <row r="149" spans="1:177" s="8" customFormat="1" ht="15">
      <c r="A149" s="266" t="s">
        <v>183</v>
      </c>
      <c r="B149" s="269" t="s">
        <v>628</v>
      </c>
      <c r="C149" s="271"/>
      <c r="D149" s="271"/>
      <c r="E149" s="271"/>
      <c r="F149" s="271"/>
      <c r="G149" s="268">
        <f>((G109-G17-G28-G72-G95-G97)-(G119+G120+G124+G125+G129+G130+G135+G136+G140+G141+G142+G145+G146+G122+G127+G132+G138+G143+G148))</f>
        <v>663449</v>
      </c>
      <c r="H149" s="268">
        <f>((H109-H17-H28-H72-H95-H97)-(H119+H120+H124+H125+H129+H130+H135+H136+H140+H141+H142+H145+H146+H122+H127+H132+H138+H143+H148))</f>
        <v>740244.7569204755</v>
      </c>
      <c r="I149" s="268">
        <f>((I109-I17-I28-I72-I95-I97)-(I119+I120+I124+I125+I129+I130+I135+I136+I140+I141+I142+I145+I146+I122+I127+I132+I138+I143+I148))</f>
        <v>1952133.5987860747</v>
      </c>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row>
    <row r="150" spans="1:177" ht="15">
      <c r="A150" s="266" t="s">
        <v>184</v>
      </c>
      <c r="B150" s="267" t="s">
        <v>629</v>
      </c>
      <c r="C150" s="271"/>
      <c r="D150" s="271"/>
      <c r="E150" s="271"/>
      <c r="F150" s="271"/>
      <c r="G150" s="268">
        <f>G17+G28+G72+G95+G97-G121-G126-G131-G137-G147</f>
        <v>0</v>
      </c>
      <c r="H150" s="268">
        <f>H17+H28+H72+H95+H97-H121-H126-H131-H137-H147</f>
        <v>0</v>
      </c>
      <c r="I150" s="268">
        <f>I17+I28+I72+I95+I97-I121-I126-I131-I137-I147</f>
        <v>0</v>
      </c>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row>
    <row r="151" spans="1:177" s="9" customFormat="1" ht="29.25" customHeight="1" thickBot="1">
      <c r="A151" s="270"/>
      <c r="B151" s="108" t="s">
        <v>627</v>
      </c>
      <c r="C151" s="109">
        <f>C117+C133</f>
        <v>16256356.279999997</v>
      </c>
      <c r="D151" s="109">
        <f>D117+D133</f>
        <v>17213063.529999997</v>
      </c>
      <c r="E151" s="109">
        <f>E117+E133</f>
        <v>19227293.700000003</v>
      </c>
      <c r="F151" s="109">
        <f>F117+F133</f>
        <v>19408189.339166667</v>
      </c>
      <c r="G151" s="109">
        <f>G117+G133+G149+G150</f>
        <v>23211300</v>
      </c>
      <c r="H151" s="109">
        <f>H117+H133+H149+H150</f>
        <v>23788111.878025085</v>
      </c>
      <c r="I151" s="109">
        <f>I117+I133+I149+I150</f>
        <v>25181350.53188052</v>
      </c>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c r="CM151" s="104"/>
      <c r="CN151" s="104"/>
      <c r="CO151" s="104"/>
      <c r="CP151" s="104"/>
      <c r="CQ151" s="104"/>
      <c r="CR151" s="104"/>
      <c r="CS151" s="104"/>
      <c r="CT151" s="104"/>
      <c r="CU151" s="104"/>
      <c r="CV151" s="104"/>
      <c r="CW151" s="104"/>
      <c r="CX151" s="104"/>
      <c r="CY151" s="104"/>
      <c r="CZ151" s="104"/>
      <c r="DA151" s="104"/>
      <c r="DB151" s="104"/>
      <c r="DC151" s="104"/>
      <c r="DD151" s="104"/>
      <c r="DE151" s="104"/>
      <c r="DF151" s="104"/>
      <c r="DG151" s="104"/>
      <c r="DH151" s="104"/>
      <c r="DI151" s="104"/>
      <c r="DJ151" s="104"/>
      <c r="DK151" s="104"/>
      <c r="DL151" s="104"/>
      <c r="DM151" s="104"/>
      <c r="DN151" s="104"/>
      <c r="DO151" s="104"/>
      <c r="DP151" s="104"/>
      <c r="DQ151" s="104"/>
      <c r="DR151" s="104"/>
      <c r="DS151" s="104"/>
      <c r="DT151" s="104"/>
      <c r="DU151" s="104"/>
      <c r="DV151" s="104"/>
      <c r="DW151" s="104"/>
      <c r="DX151" s="104"/>
      <c r="DY151" s="104"/>
      <c r="DZ151" s="104"/>
      <c r="EA151" s="104"/>
      <c r="EB151" s="104"/>
      <c r="EC151" s="104"/>
      <c r="ED151" s="104"/>
      <c r="EE151" s="104"/>
      <c r="EF151" s="104"/>
      <c r="EG151" s="104"/>
      <c r="EH151" s="104"/>
      <c r="EI151" s="104"/>
      <c r="EJ151" s="104"/>
      <c r="EK151" s="104"/>
      <c r="EL151" s="104"/>
      <c r="EM151" s="104"/>
      <c r="EN151" s="104"/>
      <c r="EO151" s="104"/>
      <c r="EP151" s="104"/>
      <c r="EQ151" s="104"/>
      <c r="ER151" s="104"/>
      <c r="ES151" s="104"/>
      <c r="ET151" s="104"/>
      <c r="EU151" s="104"/>
      <c r="EV151" s="104"/>
      <c r="EW151" s="104"/>
      <c r="EX151" s="104"/>
      <c r="EY151" s="104"/>
      <c r="EZ151" s="104"/>
      <c r="FA151" s="104"/>
      <c r="FB151" s="104"/>
      <c r="FC151" s="104"/>
      <c r="FD151" s="104"/>
      <c r="FE151" s="104"/>
      <c r="FF151" s="104"/>
      <c r="FG151" s="104"/>
      <c r="FH151" s="104"/>
      <c r="FI151" s="104"/>
      <c r="FJ151" s="104"/>
      <c r="FK151" s="104"/>
      <c r="FL151" s="104"/>
      <c r="FM151" s="104"/>
      <c r="FN151" s="104"/>
      <c r="FO151" s="104"/>
      <c r="FP151" s="104"/>
      <c r="FQ151" s="104"/>
      <c r="FR151" s="104"/>
      <c r="FS151" s="104"/>
      <c r="FT151" s="104"/>
      <c r="FU151" s="104"/>
    </row>
    <row r="152" spans="1:177" s="1" customFormat="1" ht="17.25" customHeight="1" hidden="1">
      <c r="A152" s="20"/>
      <c r="B152" s="24" t="s">
        <v>34</v>
      </c>
      <c r="C152" s="94"/>
      <c r="D152" s="95"/>
      <c r="E152" s="95"/>
      <c r="F152" s="95"/>
      <c r="G152" s="95"/>
      <c r="H152" s="95"/>
      <c r="I152" s="95"/>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row>
    <row r="153" spans="1:177" s="1" customFormat="1" ht="17.25" customHeight="1" hidden="1">
      <c r="A153" s="21"/>
      <c r="B153" s="22" t="s">
        <v>7</v>
      </c>
      <c r="C153" s="23" t="s">
        <v>9</v>
      </c>
      <c r="D153" s="23" t="e">
        <f>IF(#REF!&gt;0,"REALIZADO","PROJETADO")</f>
        <v>#REF!</v>
      </c>
      <c r="E153" s="23" t="e">
        <f>IF(#REF!&gt;0,"REALIZADO","PROJETADO")</f>
        <v>#REF!</v>
      </c>
      <c r="F153" s="23" t="e">
        <f>IF(#REF!&gt;0,"REALIZADO","PROJETADO")</f>
        <v>#REF!</v>
      </c>
      <c r="G153" s="23" t="s">
        <v>12</v>
      </c>
      <c r="H153" s="23"/>
      <c r="I153" s="23" t="s">
        <v>12</v>
      </c>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row>
    <row r="154" spans="1:177" s="1" customFormat="1" ht="17.25" customHeight="1" hidden="1">
      <c r="A154" s="21"/>
      <c r="B154" s="96" t="s">
        <v>6</v>
      </c>
      <c r="C154" s="97">
        <v>1999</v>
      </c>
      <c r="D154" s="97">
        <v>2000</v>
      </c>
      <c r="E154" s="97">
        <v>2001</v>
      </c>
      <c r="F154" s="97">
        <v>2002</v>
      </c>
      <c r="G154" s="97">
        <v>2003</v>
      </c>
      <c r="H154" s="97"/>
      <c r="I154" s="97">
        <v>2004</v>
      </c>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row>
    <row r="155" spans="1:177" s="1" customFormat="1" ht="17.25" customHeight="1" hidden="1">
      <c r="A155" s="21"/>
      <c r="B155" s="24"/>
      <c r="C155" s="25"/>
      <c r="D155" s="25"/>
      <c r="E155" s="25"/>
      <c r="F155" s="25"/>
      <c r="G155" s="25"/>
      <c r="H155" s="25"/>
      <c r="I155" s="25"/>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row>
    <row r="156" spans="1:177" s="1" customFormat="1" ht="16.5" hidden="1" thickBot="1">
      <c r="A156" s="21"/>
      <c r="B156" s="24" t="s">
        <v>14</v>
      </c>
      <c r="C156" s="26" t="e">
        <f>C8-#REF!-C14+C160-#REF!</f>
        <v>#REF!</v>
      </c>
      <c r="D156" s="26" t="e">
        <f>D8-#REF!-D14+D160-#REF!</f>
        <v>#REF!</v>
      </c>
      <c r="E156" s="26" t="e">
        <f>E8-#REF!-E14+E160-#REF!</f>
        <v>#REF!</v>
      </c>
      <c r="F156" s="26" t="e">
        <f>F8-#REF!-F14+F160-#REF!</f>
        <v>#REF!</v>
      </c>
      <c r="G156" s="26" t="e">
        <f>G8-#REF!-G14+G160-#REF!</f>
        <v>#REF!</v>
      </c>
      <c r="H156" s="26"/>
      <c r="I156" s="26" t="e">
        <f>I8-#REF!-I14+I160-#REF!</f>
        <v>#REF!</v>
      </c>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row>
    <row r="157" spans="1:177" s="1" customFormat="1" ht="16.5" hidden="1" thickBot="1">
      <c r="A157" s="21"/>
      <c r="B157" s="24" t="s">
        <v>15</v>
      </c>
      <c r="C157" s="26">
        <f>C9</f>
        <v>957109.47</v>
      </c>
      <c r="D157" s="26">
        <f>D9</f>
        <v>1082614.9599999997</v>
      </c>
      <c r="E157" s="26">
        <f>E9</f>
        <v>1180935.71</v>
      </c>
      <c r="F157" s="26">
        <f>F9</f>
        <v>1463614.2857142857</v>
      </c>
      <c r="G157" s="26">
        <f>G9</f>
        <v>3272592.84</v>
      </c>
      <c r="H157" s="26"/>
      <c r="I157" s="26">
        <f>I9</f>
        <v>4784951.076607115</v>
      </c>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row>
    <row r="158" spans="1:177" s="1" customFormat="1" ht="16.5" hidden="1" thickBot="1">
      <c r="A158" s="21"/>
      <c r="B158" s="24" t="s">
        <v>16</v>
      </c>
      <c r="C158" s="26" t="e">
        <f>C19+C20+C21+#REF!+#REF!+#REF!+#REF!</f>
        <v>#REF!</v>
      </c>
      <c r="D158" s="26" t="e">
        <f>D19+D20+D21+#REF!+#REF!+#REF!+#REF!</f>
        <v>#REF!</v>
      </c>
      <c r="E158" s="26" t="e">
        <f>E19+E20+E21+#REF!+#REF!+#REF!+#REF!</f>
        <v>#REF!</v>
      </c>
      <c r="F158" s="26" t="e">
        <f>F19+F20+F21+#REF!+#REF!+#REF!+#REF!</f>
        <v>#REF!</v>
      </c>
      <c r="G158" s="26" t="e">
        <f>G19+G20+G21+#REF!+#REF!+#REF!+#REF!</f>
        <v>#REF!</v>
      </c>
      <c r="H158" s="26"/>
      <c r="I158" s="26" t="e">
        <f>I19+I20+I21+#REF!+#REF!+#REF!+#REF!</f>
        <v>#REF!</v>
      </c>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row>
    <row r="159" spans="1:177" s="1" customFormat="1" ht="16.5" hidden="1" thickBot="1">
      <c r="A159" s="21"/>
      <c r="B159" s="24" t="s">
        <v>17</v>
      </c>
      <c r="C159" s="26" t="e">
        <f>#REF!</f>
        <v>#REF!</v>
      </c>
      <c r="D159" s="26" t="e">
        <f>#REF!</f>
        <v>#REF!</v>
      </c>
      <c r="E159" s="26" t="e">
        <f>#REF!</f>
        <v>#REF!</v>
      </c>
      <c r="F159" s="26" t="e">
        <f>#REF!</f>
        <v>#REF!</v>
      </c>
      <c r="G159" s="26" t="e">
        <f>#REF!</f>
        <v>#REF!</v>
      </c>
      <c r="H159" s="26"/>
      <c r="I159" s="26" t="e">
        <f>#REF!</f>
        <v>#REF!</v>
      </c>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row>
    <row r="160" spans="1:177" s="1" customFormat="1" ht="16.5" hidden="1" thickBot="1">
      <c r="A160" s="21"/>
      <c r="B160" s="24" t="s">
        <v>18</v>
      </c>
      <c r="C160" s="26" t="e">
        <f>#REF!-#REF!</f>
        <v>#REF!</v>
      </c>
      <c r="D160" s="26" t="e">
        <f>#REF!-#REF!</f>
        <v>#REF!</v>
      </c>
      <c r="E160" s="26" t="e">
        <f>#REF!-#REF!</f>
        <v>#REF!</v>
      </c>
      <c r="F160" s="26" t="e">
        <f>#REF!-#REF!</f>
        <v>#REF!</v>
      </c>
      <c r="G160" s="26" t="e">
        <f>#REF!-#REF!</f>
        <v>#REF!</v>
      </c>
      <c r="H160" s="26"/>
      <c r="I160" s="26" t="e">
        <f>#REF!-#REF!</f>
        <v>#REF!</v>
      </c>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row>
    <row r="161" spans="1:177" s="1" customFormat="1" ht="16.5" hidden="1" thickBot="1">
      <c r="A161" s="21"/>
      <c r="B161" s="24" t="s">
        <v>19</v>
      </c>
      <c r="C161" s="26" t="e">
        <f>#REF!</f>
        <v>#REF!</v>
      </c>
      <c r="D161" s="26" t="e">
        <f>#REF!</f>
        <v>#REF!</v>
      </c>
      <c r="E161" s="26" t="e">
        <f>#REF!</f>
        <v>#REF!</v>
      </c>
      <c r="F161" s="26" t="e">
        <f>#REF!</f>
        <v>#REF!</v>
      </c>
      <c r="G161" s="26" t="e">
        <f>#REF!</f>
        <v>#REF!</v>
      </c>
      <c r="H161" s="26"/>
      <c r="I161" s="26" t="e">
        <f>#REF!</f>
        <v>#REF!</v>
      </c>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row>
    <row r="162" spans="1:177" s="1" customFormat="1" ht="16.5" hidden="1" thickBot="1">
      <c r="A162" s="21"/>
      <c r="B162" s="24" t="s">
        <v>20</v>
      </c>
      <c r="C162" s="26" t="e">
        <f>#REF!</f>
        <v>#REF!</v>
      </c>
      <c r="D162" s="26" t="e">
        <f>#REF!</f>
        <v>#REF!</v>
      </c>
      <c r="E162" s="26" t="e">
        <f>#REF!</f>
        <v>#REF!</v>
      </c>
      <c r="F162" s="26" t="e">
        <f>#REF!</f>
        <v>#REF!</v>
      </c>
      <c r="G162" s="26" t="e">
        <f>#REF!</f>
        <v>#REF!</v>
      </c>
      <c r="H162" s="26"/>
      <c r="I162" s="26" t="e">
        <f>#REF!</f>
        <v>#REF!</v>
      </c>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row>
    <row r="163" spans="1:177" s="1" customFormat="1" ht="16.5" hidden="1" thickBot="1">
      <c r="A163" s="21"/>
      <c r="B163" s="24" t="s">
        <v>21</v>
      </c>
      <c r="C163" s="26" t="e">
        <f>#REF!</f>
        <v>#REF!</v>
      </c>
      <c r="D163" s="26" t="e">
        <f>#REF!</f>
        <v>#REF!</v>
      </c>
      <c r="E163" s="26" t="e">
        <f>#REF!</f>
        <v>#REF!</v>
      </c>
      <c r="F163" s="26" t="e">
        <f>#REF!</f>
        <v>#REF!</v>
      </c>
      <c r="G163" s="26" t="e">
        <f>#REF!</f>
        <v>#REF!</v>
      </c>
      <c r="H163" s="26"/>
      <c r="I163" s="26" t="e">
        <f>#REF!</f>
        <v>#REF!</v>
      </c>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row>
    <row r="164" spans="1:177" s="1" customFormat="1" ht="16.5" hidden="1" thickBot="1">
      <c r="A164" s="21"/>
      <c r="B164" s="24" t="s">
        <v>22</v>
      </c>
      <c r="C164" s="26" t="e">
        <f>#REF!</f>
        <v>#REF!</v>
      </c>
      <c r="D164" s="26" t="e">
        <f>#REF!</f>
        <v>#REF!</v>
      </c>
      <c r="E164" s="26" t="e">
        <f>#REF!</f>
        <v>#REF!</v>
      </c>
      <c r="F164" s="26" t="e">
        <f>#REF!</f>
        <v>#REF!</v>
      </c>
      <c r="G164" s="26" t="e">
        <f>#REF!</f>
        <v>#REF!</v>
      </c>
      <c r="H164" s="26"/>
      <c r="I164" s="26" t="e">
        <f>#REF!</f>
        <v>#REF!</v>
      </c>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row>
    <row r="165" spans="1:177" s="1" customFormat="1" ht="16.5" hidden="1" thickBot="1">
      <c r="A165" s="21"/>
      <c r="B165" s="24" t="s">
        <v>23</v>
      </c>
      <c r="C165" s="26" t="e">
        <f>#REF!+#REF!+C140+C141+C144+#REF!+C150+C151+C123+#REF!</f>
        <v>#REF!</v>
      </c>
      <c r="D165" s="26" t="e">
        <f>#REF!+#REF!+D140+D141+D144+#REF!+D150+D151+D123+#REF!</f>
        <v>#REF!</v>
      </c>
      <c r="E165" s="26" t="e">
        <f>#REF!+#REF!+E140+E141+E144+#REF!+E150+E151+E123+#REF!</f>
        <v>#REF!</v>
      </c>
      <c r="F165" s="26" t="e">
        <f>#REF!+#REF!+F140+F141+F144+#REF!+F150+F151+F123+#REF!</f>
        <v>#REF!</v>
      </c>
      <c r="G165" s="26" t="e">
        <f>#REF!+#REF!+G140+G141+G144+#REF!+G150+G151+G123+#REF!</f>
        <v>#REF!</v>
      </c>
      <c r="H165" s="26"/>
      <c r="I165" s="26" t="e">
        <f>#REF!+#REF!+I140+I141+I144+#REF!+I150+I151+I123+#REF!</f>
        <v>#REF!</v>
      </c>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row>
    <row r="166" spans="1:177" s="1" customFormat="1" ht="16.5" hidden="1" thickBot="1">
      <c r="A166" s="21"/>
      <c r="B166" s="24" t="s">
        <v>24</v>
      </c>
      <c r="C166" s="26" t="e">
        <f>#REF!+#REF!</f>
        <v>#REF!</v>
      </c>
      <c r="D166" s="26" t="e">
        <f>#REF!+#REF!</f>
        <v>#REF!</v>
      </c>
      <c r="E166" s="26" t="e">
        <f>#REF!+#REF!</f>
        <v>#REF!</v>
      </c>
      <c r="F166" s="26" t="e">
        <f>#REF!+#REF!</f>
        <v>#REF!</v>
      </c>
      <c r="G166" s="26" t="e">
        <f>#REF!+#REF!</f>
        <v>#REF!</v>
      </c>
      <c r="H166" s="26"/>
      <c r="I166" s="26" t="e">
        <f>#REF!+#REF!</f>
        <v>#REF!</v>
      </c>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row>
    <row r="167" spans="1:177" s="1" customFormat="1" ht="16.5" hidden="1" thickBot="1">
      <c r="A167" s="21"/>
      <c r="B167" s="24" t="s">
        <v>25</v>
      </c>
      <c r="C167" s="26">
        <f>C134+C139</f>
        <v>1047362.15</v>
      </c>
      <c r="D167" s="26">
        <f>D134+D139</f>
        <v>467534.85</v>
      </c>
      <c r="E167" s="26">
        <f>E134+E139</f>
        <v>1854368.51</v>
      </c>
      <c r="F167" s="26">
        <f>F134+F139</f>
        <v>386856.72000000003</v>
      </c>
      <c r="G167" s="26">
        <f>G134+G139</f>
        <v>581000</v>
      </c>
      <c r="H167" s="26"/>
      <c r="I167" s="26">
        <f>I134+I139</f>
        <v>-3376318.9089135015</v>
      </c>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row>
    <row r="168" spans="1:177" s="1" customFormat="1" ht="16.5" hidden="1" thickBot="1">
      <c r="A168" s="21"/>
      <c r="B168" s="24" t="s">
        <v>26</v>
      </c>
      <c r="C168" s="26" t="e">
        <f>#REF!</f>
        <v>#REF!</v>
      </c>
      <c r="D168" s="26" t="e">
        <f>#REF!</f>
        <v>#REF!</v>
      </c>
      <c r="E168" s="26" t="e">
        <f>#REF!</f>
        <v>#REF!</v>
      </c>
      <c r="F168" s="26" t="e">
        <f>#REF!</f>
        <v>#REF!</v>
      </c>
      <c r="G168" s="26" t="e">
        <f>#REF!</f>
        <v>#REF!</v>
      </c>
      <c r="H168" s="26"/>
      <c r="I168" s="26" t="e">
        <f>#REF!</f>
        <v>#REF!</v>
      </c>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row>
    <row r="169" spans="1:177" s="1" customFormat="1" ht="16.5" hidden="1" thickBot="1">
      <c r="A169" s="21"/>
      <c r="B169" s="24" t="s">
        <v>27</v>
      </c>
      <c r="C169" s="26" t="e">
        <f>C128+#REF!+#REF!+#REF!+#REF!+#REF!+#REF!</f>
        <v>#REF!</v>
      </c>
      <c r="D169" s="26" t="e">
        <f>D128+#REF!+#REF!+#REF!+#REF!+#REF!+#REF!</f>
        <v>#REF!</v>
      </c>
      <c r="E169" s="26" t="e">
        <f>E128+#REF!+#REF!+#REF!+#REF!+#REF!+#REF!</f>
        <v>#REF!</v>
      </c>
      <c r="F169" s="26" t="e">
        <f>F128+#REF!+#REF!+#REF!+#REF!+#REF!+#REF!</f>
        <v>#REF!</v>
      </c>
      <c r="G169" s="26" t="e">
        <f>G128+#REF!+#REF!+#REF!+#REF!+#REF!+#REF!</f>
        <v>#REF!</v>
      </c>
      <c r="H169" s="26"/>
      <c r="I169" s="26" t="e">
        <f>I128+#REF!+#REF!+#REF!+#REF!+#REF!+#REF!</f>
        <v>#REF!</v>
      </c>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row>
    <row r="170" spans="1:177" s="1" customFormat="1" ht="16.5" hidden="1" thickBot="1">
      <c r="A170" s="21"/>
      <c r="B170" s="24" t="s">
        <v>33</v>
      </c>
      <c r="C170" s="26" t="e">
        <f>#REF!</f>
        <v>#REF!</v>
      </c>
      <c r="D170" s="26" t="e">
        <f>#REF!</f>
        <v>#REF!</v>
      </c>
      <c r="E170" s="26" t="e">
        <f>#REF!</f>
        <v>#REF!</v>
      </c>
      <c r="F170" s="26" t="e">
        <f>#REF!</f>
        <v>#REF!</v>
      </c>
      <c r="G170" s="26" t="e">
        <f>#REF!</f>
        <v>#REF!</v>
      </c>
      <c r="H170" s="26"/>
      <c r="I170" s="26" t="e">
        <f>#REF!</f>
        <v>#REF!</v>
      </c>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row>
    <row r="171" spans="1:177" s="1" customFormat="1" ht="16.5" hidden="1" thickBot="1">
      <c r="A171" s="21"/>
      <c r="B171" s="24" t="s">
        <v>28</v>
      </c>
      <c r="C171" s="26" t="e">
        <f>#REF!+#REF!</f>
        <v>#REF!</v>
      </c>
      <c r="D171" s="26" t="e">
        <f>#REF!+#REF!</f>
        <v>#REF!</v>
      </c>
      <c r="E171" s="26" t="e">
        <f>#REF!+#REF!</f>
        <v>#REF!</v>
      </c>
      <c r="F171" s="26" t="e">
        <f>#REF!+#REF!</f>
        <v>#REF!</v>
      </c>
      <c r="G171" s="26" t="e">
        <f>#REF!+#REF!</f>
        <v>#REF!</v>
      </c>
      <c r="H171" s="26"/>
      <c r="I171" s="26" t="e">
        <f>#REF!+#REF!</f>
        <v>#REF!</v>
      </c>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row>
    <row r="172" spans="1:177" s="1" customFormat="1" ht="16.5" hidden="1" thickBot="1">
      <c r="A172" s="21"/>
      <c r="B172" s="24" t="s">
        <v>29</v>
      </c>
      <c r="C172" s="26" t="e">
        <f>#REF!+#REF!</f>
        <v>#REF!</v>
      </c>
      <c r="D172" s="26" t="e">
        <f>#REF!+#REF!</f>
        <v>#REF!</v>
      </c>
      <c r="E172" s="26" t="e">
        <f>#REF!+#REF!</f>
        <v>#REF!</v>
      </c>
      <c r="F172" s="26" t="e">
        <f>#REF!+#REF!</f>
        <v>#REF!</v>
      </c>
      <c r="G172" s="26" t="e">
        <f>#REF!+#REF!</f>
        <v>#REF!</v>
      </c>
      <c r="H172" s="26"/>
      <c r="I172" s="26" t="e">
        <f>#REF!+#REF!</f>
        <v>#REF!</v>
      </c>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99"/>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row>
    <row r="173" spans="1:177" s="1" customFormat="1" ht="16.5" hidden="1" thickBot="1">
      <c r="A173" s="21"/>
      <c r="B173" s="24" t="s">
        <v>30</v>
      </c>
      <c r="C173" s="26" t="e">
        <f>C171+C172</f>
        <v>#REF!</v>
      </c>
      <c r="D173" s="26" t="e">
        <f aca="true" t="shared" si="30" ref="D173:I173">D171+D172</f>
        <v>#REF!</v>
      </c>
      <c r="E173" s="26" t="e">
        <f t="shared" si="30"/>
        <v>#REF!</v>
      </c>
      <c r="F173" s="26" t="e">
        <f t="shared" si="30"/>
        <v>#REF!</v>
      </c>
      <c r="G173" s="26" t="e">
        <f t="shared" si="30"/>
        <v>#REF!</v>
      </c>
      <c r="H173" s="26"/>
      <c r="I173" s="26" t="e">
        <f t="shared" si="30"/>
        <v>#REF!</v>
      </c>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row>
    <row r="174" spans="1:177" s="1" customFormat="1" ht="16.5" hidden="1" thickBot="1">
      <c r="A174" s="21"/>
      <c r="B174" s="24" t="s">
        <v>31</v>
      </c>
      <c r="C174" s="26" t="e">
        <f>((C8+#REF!)-(C158)-((#REF!+#REF!)-C173))</f>
        <v>#REF!</v>
      </c>
      <c r="D174" s="26" t="e">
        <f>((D8+#REF!)-(D158)-((#REF!+#REF!)-D173))</f>
        <v>#REF!</v>
      </c>
      <c r="E174" s="26" t="e">
        <f>((E8+#REF!)-(E158)-((#REF!+#REF!)-E173))</f>
        <v>#REF!</v>
      </c>
      <c r="F174" s="26" t="e">
        <f>((F8+#REF!)-(F158)-((#REF!+#REF!)-F173))</f>
        <v>#REF!</v>
      </c>
      <c r="G174" s="26" t="e">
        <f>((G8+#REF!)-(G158)-((#REF!+#REF!)-G173))</f>
        <v>#REF!</v>
      </c>
      <c r="H174" s="26"/>
      <c r="I174" s="26" t="e">
        <f>((I8+#REF!)-(I158)-((#REF!+#REF!)-I173))</f>
        <v>#REF!</v>
      </c>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row>
    <row r="175" spans="1:177" s="1" customFormat="1" ht="16.5" hidden="1" thickBot="1">
      <c r="A175" s="21"/>
      <c r="B175" s="27" t="s">
        <v>32</v>
      </c>
      <c r="C175" s="28" t="e">
        <f>-(C174-(C171-C19-C20-C21-#REF!))</f>
        <v>#REF!</v>
      </c>
      <c r="D175" s="28" t="e">
        <f>-(D174-(D171-D19-D20-D21-#REF!))</f>
        <v>#REF!</v>
      </c>
      <c r="E175" s="28" t="e">
        <f>-(E174-(E171-E19-E20-E21-#REF!))</f>
        <v>#REF!</v>
      </c>
      <c r="F175" s="28" t="e">
        <f>-(F174-(F171-F19-F20-F21-#REF!))</f>
        <v>#REF!</v>
      </c>
      <c r="G175" s="28" t="e">
        <f>-(G174-(G171-G19-G20-G21-#REF!))</f>
        <v>#REF!</v>
      </c>
      <c r="H175" s="28"/>
      <c r="I175" s="28" t="e">
        <f>-(I174-(I171-I19-I20-I21-#REF!))</f>
        <v>#REF!</v>
      </c>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row>
    <row r="176" spans="1:177" s="1" customFormat="1" ht="16.5" thickTop="1">
      <c r="A176" s="21"/>
      <c r="B176" s="29"/>
      <c r="C176" s="29"/>
      <c r="D176" s="29"/>
      <c r="E176" s="29"/>
      <c r="F176" s="29"/>
      <c r="G176" s="29"/>
      <c r="H176" s="29"/>
      <c r="I176" s="2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row>
    <row r="177" spans="2:177" s="1" customFormat="1" ht="15.75">
      <c r="B177" s="5"/>
      <c r="C177" s="5"/>
      <c r="D177" s="5"/>
      <c r="E177" s="5"/>
      <c r="F177" s="5"/>
      <c r="G177" s="5"/>
      <c r="H177" s="5"/>
      <c r="I177" s="5"/>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99"/>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row>
    <row r="178" spans="2:177" s="1" customFormat="1" ht="15.75">
      <c r="B178" s="5"/>
      <c r="C178" s="5"/>
      <c r="D178" s="5"/>
      <c r="E178" s="5"/>
      <c r="F178" s="5"/>
      <c r="G178" s="5"/>
      <c r="H178" s="5"/>
      <c r="I178" s="5"/>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99"/>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row>
    <row r="179" spans="2:177" s="1" customFormat="1" ht="15.75">
      <c r="B179" s="5"/>
      <c r="C179" s="5"/>
      <c r="D179" s="5"/>
      <c r="E179" s="5"/>
      <c r="F179" s="5"/>
      <c r="G179" s="5"/>
      <c r="H179" s="5"/>
      <c r="I179" s="5"/>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row>
    <row r="180" spans="2:177" s="1" customFormat="1" ht="15.75">
      <c r="B180" s="5"/>
      <c r="C180" s="5"/>
      <c r="D180" s="5"/>
      <c r="E180" s="5"/>
      <c r="F180" s="5"/>
      <c r="G180" s="5"/>
      <c r="H180" s="5"/>
      <c r="I180" s="5"/>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99"/>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row>
    <row r="181" spans="2:177" s="1" customFormat="1" ht="15.75">
      <c r="B181" s="2"/>
      <c r="C181" s="5"/>
      <c r="D181" s="5"/>
      <c r="E181" s="5"/>
      <c r="F181" s="5"/>
      <c r="G181" s="5"/>
      <c r="H181" s="5"/>
      <c r="I181" s="5"/>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row>
    <row r="182" spans="2:177" s="1" customFormat="1" ht="15.75">
      <c r="B182" s="5"/>
      <c r="C182" s="5"/>
      <c r="D182" s="5"/>
      <c r="E182" s="5"/>
      <c r="F182" s="5"/>
      <c r="G182" s="5"/>
      <c r="H182" s="5"/>
      <c r="I182" s="5"/>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99"/>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row>
    <row r="183" spans="2:177" s="1" customFormat="1" ht="15.75">
      <c r="B183" s="5"/>
      <c r="C183" s="5"/>
      <c r="D183" s="5"/>
      <c r="E183" s="5"/>
      <c r="F183" s="5"/>
      <c r="G183" s="5"/>
      <c r="H183" s="5"/>
      <c r="I183" s="5"/>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99"/>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9"/>
      <c r="FE183" s="99"/>
      <c r="FF183" s="99"/>
      <c r="FG183" s="99"/>
      <c r="FH183" s="99"/>
      <c r="FI183" s="99"/>
      <c r="FJ183" s="99"/>
      <c r="FK183" s="99"/>
      <c r="FL183" s="99"/>
      <c r="FM183" s="99"/>
      <c r="FN183" s="99"/>
      <c r="FO183" s="99"/>
      <c r="FP183" s="99"/>
      <c r="FQ183" s="99"/>
      <c r="FR183" s="99"/>
      <c r="FS183" s="99"/>
      <c r="FT183" s="99"/>
      <c r="FU183" s="99"/>
    </row>
    <row r="184" spans="2:177" s="1" customFormat="1" ht="15.75">
      <c r="B184" s="5"/>
      <c r="C184" s="5"/>
      <c r="D184" s="5"/>
      <c r="E184" s="5"/>
      <c r="F184" s="5"/>
      <c r="G184" s="5"/>
      <c r="H184" s="5"/>
      <c r="I184" s="5"/>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99"/>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9"/>
      <c r="FE184" s="99"/>
      <c r="FF184" s="99"/>
      <c r="FG184" s="99"/>
      <c r="FH184" s="99"/>
      <c r="FI184" s="99"/>
      <c r="FJ184" s="99"/>
      <c r="FK184" s="99"/>
      <c r="FL184" s="99"/>
      <c r="FM184" s="99"/>
      <c r="FN184" s="99"/>
      <c r="FO184" s="99"/>
      <c r="FP184" s="99"/>
      <c r="FQ184" s="99"/>
      <c r="FR184" s="99"/>
      <c r="FS184" s="99"/>
      <c r="FT184" s="99"/>
      <c r="FU184" s="99"/>
    </row>
    <row r="185" spans="2:177" s="1" customFormat="1" ht="15.75">
      <c r="B185" s="5"/>
      <c r="C185" s="5"/>
      <c r="D185" s="5"/>
      <c r="E185" s="5"/>
      <c r="F185" s="5"/>
      <c r="G185" s="5"/>
      <c r="H185" s="5"/>
      <c r="I185" s="5"/>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99"/>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9"/>
      <c r="FE185" s="99"/>
      <c r="FF185" s="99"/>
      <c r="FG185" s="99"/>
      <c r="FH185" s="99"/>
      <c r="FI185" s="99"/>
      <c r="FJ185" s="99"/>
      <c r="FK185" s="99"/>
      <c r="FL185" s="99"/>
      <c r="FM185" s="99"/>
      <c r="FN185" s="99"/>
      <c r="FO185" s="99"/>
      <c r="FP185" s="99"/>
      <c r="FQ185" s="99"/>
      <c r="FR185" s="99"/>
      <c r="FS185" s="99"/>
      <c r="FT185" s="99"/>
      <c r="FU185" s="99"/>
    </row>
    <row r="186" spans="2:177" s="1" customFormat="1" ht="15.75">
      <c r="B186" s="5"/>
      <c r="C186" s="5"/>
      <c r="D186" s="5"/>
      <c r="E186" s="5"/>
      <c r="F186" s="5"/>
      <c r="G186" s="5"/>
      <c r="H186" s="5"/>
      <c r="I186" s="5"/>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99"/>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9"/>
      <c r="FE186" s="99"/>
      <c r="FF186" s="99"/>
      <c r="FG186" s="99"/>
      <c r="FH186" s="99"/>
      <c r="FI186" s="99"/>
      <c r="FJ186" s="99"/>
      <c r="FK186" s="99"/>
      <c r="FL186" s="99"/>
      <c r="FM186" s="99"/>
      <c r="FN186" s="99"/>
      <c r="FO186" s="99"/>
      <c r="FP186" s="99"/>
      <c r="FQ186" s="99"/>
      <c r="FR186" s="99"/>
      <c r="FS186" s="99"/>
      <c r="FT186" s="99"/>
      <c r="FU186" s="99"/>
    </row>
    <row r="187" spans="2:177" s="1" customFormat="1" ht="15.75">
      <c r="B187" s="5"/>
      <c r="C187" s="5"/>
      <c r="D187" s="5"/>
      <c r="E187" s="5"/>
      <c r="F187" s="5"/>
      <c r="G187" s="5"/>
      <c r="H187" s="5"/>
      <c r="I187" s="5"/>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99"/>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9"/>
      <c r="FE187" s="99"/>
      <c r="FF187" s="99"/>
      <c r="FG187" s="99"/>
      <c r="FH187" s="99"/>
      <c r="FI187" s="99"/>
      <c r="FJ187" s="99"/>
      <c r="FK187" s="99"/>
      <c r="FL187" s="99"/>
      <c r="FM187" s="99"/>
      <c r="FN187" s="99"/>
      <c r="FO187" s="99"/>
      <c r="FP187" s="99"/>
      <c r="FQ187" s="99"/>
      <c r="FR187" s="99"/>
      <c r="FS187" s="99"/>
      <c r="FT187" s="99"/>
      <c r="FU187" s="99"/>
    </row>
    <row r="188" spans="2:177" s="1" customFormat="1" ht="18.75" customHeight="1">
      <c r="B188" s="5"/>
      <c r="C188" s="5"/>
      <c r="D188" s="5"/>
      <c r="E188" s="5"/>
      <c r="F188" s="5"/>
      <c r="G188" s="5"/>
      <c r="H188" s="5"/>
      <c r="I188" s="5"/>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99"/>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9"/>
      <c r="FE188" s="99"/>
      <c r="FF188" s="99"/>
      <c r="FG188" s="99"/>
      <c r="FH188" s="99"/>
      <c r="FI188" s="99"/>
      <c r="FJ188" s="99"/>
      <c r="FK188" s="99"/>
      <c r="FL188" s="99"/>
      <c r="FM188" s="99"/>
      <c r="FN188" s="99"/>
      <c r="FO188" s="99"/>
      <c r="FP188" s="99"/>
      <c r="FQ188" s="99"/>
      <c r="FR188" s="99"/>
      <c r="FS188" s="99"/>
      <c r="FT188" s="99"/>
      <c r="FU188" s="99"/>
    </row>
    <row r="189" spans="2:177" s="2" customFormat="1" ht="15.75">
      <c r="B189" s="5"/>
      <c r="C189" s="5"/>
      <c r="D189" s="5"/>
      <c r="E189" s="5"/>
      <c r="F189" s="5"/>
      <c r="G189" s="5"/>
      <c r="H189" s="5"/>
      <c r="I189" s="5"/>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row>
    <row r="190" spans="2:177" s="1" customFormat="1" ht="15.75">
      <c r="B190" s="5"/>
      <c r="C190" s="5"/>
      <c r="D190" s="5"/>
      <c r="E190" s="5"/>
      <c r="F190" s="5"/>
      <c r="G190" s="5"/>
      <c r="H190" s="5"/>
      <c r="I190" s="5"/>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9"/>
      <c r="FE190" s="99"/>
      <c r="FF190" s="99"/>
      <c r="FG190" s="99"/>
      <c r="FH190" s="99"/>
      <c r="FI190" s="99"/>
      <c r="FJ190" s="99"/>
      <c r="FK190" s="99"/>
      <c r="FL190" s="99"/>
      <c r="FM190" s="99"/>
      <c r="FN190" s="99"/>
      <c r="FO190" s="99"/>
      <c r="FP190" s="99"/>
      <c r="FQ190" s="99"/>
      <c r="FR190" s="99"/>
      <c r="FS190" s="99"/>
      <c r="FT190" s="99"/>
      <c r="FU190" s="99"/>
    </row>
    <row r="191" spans="2:177" s="1" customFormat="1" ht="15.75">
      <c r="B191" s="5"/>
      <c r="C191" s="5"/>
      <c r="D191" s="5"/>
      <c r="E191" s="5"/>
      <c r="F191" s="5"/>
      <c r="G191" s="5"/>
      <c r="H191" s="5"/>
      <c r="I191" s="5"/>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99"/>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9"/>
      <c r="FE191" s="99"/>
      <c r="FF191" s="99"/>
      <c r="FG191" s="99"/>
      <c r="FH191" s="99"/>
      <c r="FI191" s="99"/>
      <c r="FJ191" s="99"/>
      <c r="FK191" s="99"/>
      <c r="FL191" s="99"/>
      <c r="FM191" s="99"/>
      <c r="FN191" s="99"/>
      <c r="FO191" s="99"/>
      <c r="FP191" s="99"/>
      <c r="FQ191" s="99"/>
      <c r="FR191" s="99"/>
      <c r="FS191" s="99"/>
      <c r="FT191" s="99"/>
      <c r="FU191" s="99"/>
    </row>
    <row r="192" spans="2:177" s="1" customFormat="1" ht="15.75">
      <c r="B192" s="5"/>
      <c r="C192" s="5"/>
      <c r="D192" s="5"/>
      <c r="E192" s="5"/>
      <c r="F192" s="5"/>
      <c r="G192" s="5"/>
      <c r="H192" s="5"/>
      <c r="I192" s="5"/>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99"/>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9"/>
      <c r="FE192" s="99"/>
      <c r="FF192" s="99"/>
      <c r="FG192" s="99"/>
      <c r="FH192" s="99"/>
      <c r="FI192" s="99"/>
      <c r="FJ192" s="99"/>
      <c r="FK192" s="99"/>
      <c r="FL192" s="99"/>
      <c r="FM192" s="99"/>
      <c r="FN192" s="99"/>
      <c r="FO192" s="99"/>
      <c r="FP192" s="99"/>
      <c r="FQ192" s="99"/>
      <c r="FR192" s="99"/>
      <c r="FS192" s="99"/>
      <c r="FT192" s="99"/>
      <c r="FU192" s="99"/>
    </row>
    <row r="193" spans="2:177" s="1" customFormat="1" ht="15.75">
      <c r="B193" s="5"/>
      <c r="C193" s="5"/>
      <c r="D193" s="5"/>
      <c r="E193" s="5"/>
      <c r="F193" s="5"/>
      <c r="G193" s="5"/>
      <c r="H193" s="5"/>
      <c r="I193" s="5"/>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99"/>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9"/>
      <c r="FE193" s="99"/>
      <c r="FF193" s="99"/>
      <c r="FG193" s="99"/>
      <c r="FH193" s="99"/>
      <c r="FI193" s="99"/>
      <c r="FJ193" s="99"/>
      <c r="FK193" s="99"/>
      <c r="FL193" s="99"/>
      <c r="FM193" s="99"/>
      <c r="FN193" s="99"/>
      <c r="FO193" s="99"/>
      <c r="FP193" s="99"/>
      <c r="FQ193" s="99"/>
      <c r="FR193" s="99"/>
      <c r="FS193" s="99"/>
      <c r="FT193" s="99"/>
      <c r="FU193" s="99"/>
    </row>
    <row r="194" spans="2:177" s="1" customFormat="1" ht="15.75">
      <c r="B194" s="5"/>
      <c r="C194" s="5"/>
      <c r="D194" s="5"/>
      <c r="E194" s="5"/>
      <c r="F194" s="5"/>
      <c r="G194" s="5"/>
      <c r="H194" s="5"/>
      <c r="I194" s="5"/>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99"/>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9"/>
      <c r="FE194" s="99"/>
      <c r="FF194" s="99"/>
      <c r="FG194" s="99"/>
      <c r="FH194" s="99"/>
      <c r="FI194" s="99"/>
      <c r="FJ194" s="99"/>
      <c r="FK194" s="99"/>
      <c r="FL194" s="99"/>
      <c r="FM194" s="99"/>
      <c r="FN194" s="99"/>
      <c r="FO194" s="99"/>
      <c r="FP194" s="99"/>
      <c r="FQ194" s="99"/>
      <c r="FR194" s="99"/>
      <c r="FS194" s="99"/>
      <c r="FT194" s="99"/>
      <c r="FU194" s="99"/>
    </row>
    <row r="195" spans="2:177" s="3" customFormat="1" ht="15.75">
      <c r="B195" s="5"/>
      <c r="C195" s="6"/>
      <c r="D195" s="6"/>
      <c r="E195" s="6"/>
      <c r="F195" s="6"/>
      <c r="G195" s="6"/>
      <c r="H195" s="6"/>
      <c r="I195" s="6"/>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5"/>
      <c r="FU195" s="105"/>
    </row>
    <row r="196" spans="2:177" s="1" customFormat="1" ht="15.75">
      <c r="B196" s="2"/>
      <c r="C196" s="2"/>
      <c r="D196" s="2"/>
      <c r="E196" s="2"/>
      <c r="F196" s="2"/>
      <c r="G196" s="2"/>
      <c r="H196" s="2"/>
      <c r="I196" s="2"/>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c r="DT196" s="99"/>
      <c r="DU196" s="99"/>
      <c r="DV196" s="99"/>
      <c r="DW196" s="99"/>
      <c r="DX196" s="99"/>
      <c r="DY196" s="99"/>
      <c r="DZ196" s="99"/>
      <c r="EA196" s="99"/>
      <c r="EB196" s="99"/>
      <c r="EC196" s="99"/>
      <c r="ED196" s="99"/>
      <c r="EE196" s="99"/>
      <c r="EF196" s="99"/>
      <c r="EG196" s="99"/>
      <c r="EH196" s="99"/>
      <c r="EI196" s="99"/>
      <c r="EJ196" s="99"/>
      <c r="EK196" s="99"/>
      <c r="EL196" s="99"/>
      <c r="EM196" s="99"/>
      <c r="EN196" s="99"/>
      <c r="EO196" s="99"/>
      <c r="EP196" s="99"/>
      <c r="EQ196" s="99"/>
      <c r="ER196" s="99"/>
      <c r="ES196" s="99"/>
      <c r="ET196" s="99"/>
      <c r="EU196" s="99"/>
      <c r="EV196" s="99"/>
      <c r="EW196" s="99"/>
      <c r="EX196" s="99"/>
      <c r="EY196" s="99"/>
      <c r="EZ196" s="99"/>
      <c r="FA196" s="99"/>
      <c r="FB196" s="99"/>
      <c r="FC196" s="99"/>
      <c r="FD196" s="99"/>
      <c r="FE196" s="99"/>
      <c r="FF196" s="99"/>
      <c r="FG196" s="99"/>
      <c r="FH196" s="99"/>
      <c r="FI196" s="99"/>
      <c r="FJ196" s="99"/>
      <c r="FK196" s="99"/>
      <c r="FL196" s="99"/>
      <c r="FM196" s="99"/>
      <c r="FN196" s="99"/>
      <c r="FO196" s="99"/>
      <c r="FP196" s="99"/>
      <c r="FQ196" s="99"/>
      <c r="FR196" s="99"/>
      <c r="FS196" s="99"/>
      <c r="FT196" s="99"/>
      <c r="FU196" s="99"/>
    </row>
    <row r="197" spans="2:177" s="1" customFormat="1" ht="15.75">
      <c r="B197" s="2"/>
      <c r="C197" s="2"/>
      <c r="D197" s="2"/>
      <c r="E197" s="2"/>
      <c r="F197" s="2"/>
      <c r="G197" s="2"/>
      <c r="H197" s="2"/>
      <c r="I197" s="2"/>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99"/>
      <c r="FN197" s="99"/>
      <c r="FO197" s="99"/>
      <c r="FP197" s="99"/>
      <c r="FQ197" s="99"/>
      <c r="FR197" s="99"/>
      <c r="FS197" s="99"/>
      <c r="FT197" s="99"/>
      <c r="FU197" s="99"/>
    </row>
    <row r="198" spans="2:177" s="1" customFormat="1" ht="15.75">
      <c r="B198" s="2"/>
      <c r="C198" s="2"/>
      <c r="D198" s="2"/>
      <c r="E198" s="2"/>
      <c r="F198" s="2"/>
      <c r="G198" s="2"/>
      <c r="H198" s="2"/>
      <c r="I198" s="2"/>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99"/>
      <c r="FN198" s="99"/>
      <c r="FO198" s="99"/>
      <c r="FP198" s="99"/>
      <c r="FQ198" s="99"/>
      <c r="FR198" s="99"/>
      <c r="FS198" s="99"/>
      <c r="FT198" s="99"/>
      <c r="FU198" s="99"/>
    </row>
    <row r="199" spans="2:177" s="1" customFormat="1" ht="15.75">
      <c r="B199" s="2"/>
      <c r="C199" s="2"/>
      <c r="D199" s="2"/>
      <c r="E199" s="2"/>
      <c r="F199" s="2"/>
      <c r="G199" s="2"/>
      <c r="H199" s="2"/>
      <c r="I199" s="2"/>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9"/>
      <c r="FE199" s="99"/>
      <c r="FF199" s="99"/>
      <c r="FG199" s="99"/>
      <c r="FH199" s="99"/>
      <c r="FI199" s="99"/>
      <c r="FJ199" s="99"/>
      <c r="FK199" s="99"/>
      <c r="FL199" s="99"/>
      <c r="FM199" s="99"/>
      <c r="FN199" s="99"/>
      <c r="FO199" s="99"/>
      <c r="FP199" s="99"/>
      <c r="FQ199" s="99"/>
      <c r="FR199" s="99"/>
      <c r="FS199" s="99"/>
      <c r="FT199" s="99"/>
      <c r="FU199" s="99"/>
    </row>
    <row r="200" spans="2:177" s="1" customFormat="1" ht="15.75">
      <c r="B200" s="2"/>
      <c r="C200" s="2"/>
      <c r="D200" s="2"/>
      <c r="E200" s="2"/>
      <c r="F200" s="2"/>
      <c r="G200" s="2"/>
      <c r="H200" s="2"/>
      <c r="I200" s="2"/>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9"/>
      <c r="FE200" s="99"/>
      <c r="FF200" s="99"/>
      <c r="FG200" s="99"/>
      <c r="FH200" s="99"/>
      <c r="FI200" s="99"/>
      <c r="FJ200" s="99"/>
      <c r="FK200" s="99"/>
      <c r="FL200" s="99"/>
      <c r="FM200" s="99"/>
      <c r="FN200" s="99"/>
      <c r="FO200" s="99"/>
      <c r="FP200" s="99"/>
      <c r="FQ200" s="99"/>
      <c r="FR200" s="99"/>
      <c r="FS200" s="99"/>
      <c r="FT200" s="99"/>
      <c r="FU200" s="99"/>
    </row>
    <row r="201" spans="2:177" s="1" customFormat="1" ht="15.75">
      <c r="B201" s="2"/>
      <c r="C201" s="2"/>
      <c r="D201" s="2"/>
      <c r="E201" s="2"/>
      <c r="F201" s="2"/>
      <c r="G201" s="2"/>
      <c r="H201" s="2"/>
      <c r="I201" s="2"/>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9"/>
      <c r="FE201" s="99"/>
      <c r="FF201" s="99"/>
      <c r="FG201" s="99"/>
      <c r="FH201" s="99"/>
      <c r="FI201" s="99"/>
      <c r="FJ201" s="99"/>
      <c r="FK201" s="99"/>
      <c r="FL201" s="99"/>
      <c r="FM201" s="99"/>
      <c r="FN201" s="99"/>
      <c r="FO201" s="99"/>
      <c r="FP201" s="99"/>
      <c r="FQ201" s="99"/>
      <c r="FR201" s="99"/>
      <c r="FS201" s="99"/>
      <c r="FT201" s="99"/>
      <c r="FU201" s="99"/>
    </row>
    <row r="202" spans="2:177" s="1" customFormat="1" ht="15.75">
      <c r="B202" s="2"/>
      <c r="C202" s="2"/>
      <c r="D202" s="2"/>
      <c r="E202" s="2"/>
      <c r="F202" s="2"/>
      <c r="G202" s="2"/>
      <c r="H202" s="2"/>
      <c r="I202" s="2"/>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c r="FA202" s="99"/>
      <c r="FB202" s="99"/>
      <c r="FC202" s="99"/>
      <c r="FD202" s="99"/>
      <c r="FE202" s="99"/>
      <c r="FF202" s="99"/>
      <c r="FG202" s="99"/>
      <c r="FH202" s="99"/>
      <c r="FI202" s="99"/>
      <c r="FJ202" s="99"/>
      <c r="FK202" s="99"/>
      <c r="FL202" s="99"/>
      <c r="FM202" s="99"/>
      <c r="FN202" s="99"/>
      <c r="FO202" s="99"/>
      <c r="FP202" s="99"/>
      <c r="FQ202" s="99"/>
      <c r="FR202" s="99"/>
      <c r="FS202" s="99"/>
      <c r="FT202" s="99"/>
      <c r="FU202" s="99"/>
    </row>
    <row r="203" spans="2:177" s="1" customFormat="1" ht="15.75">
      <c r="B203" s="2"/>
      <c r="C203" s="2"/>
      <c r="D203" s="2"/>
      <c r="E203" s="2"/>
      <c r="F203" s="2"/>
      <c r="G203" s="2"/>
      <c r="H203" s="2"/>
      <c r="I203" s="2"/>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99"/>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9"/>
      <c r="FE203" s="99"/>
      <c r="FF203" s="99"/>
      <c r="FG203" s="99"/>
      <c r="FH203" s="99"/>
      <c r="FI203" s="99"/>
      <c r="FJ203" s="99"/>
      <c r="FK203" s="99"/>
      <c r="FL203" s="99"/>
      <c r="FM203" s="99"/>
      <c r="FN203" s="99"/>
      <c r="FO203" s="99"/>
      <c r="FP203" s="99"/>
      <c r="FQ203" s="99"/>
      <c r="FR203" s="99"/>
      <c r="FS203" s="99"/>
      <c r="FT203" s="99"/>
      <c r="FU203" s="99"/>
    </row>
    <row r="204" spans="10:177" s="1" customFormat="1" ht="15.75">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9"/>
      <c r="FE204" s="99"/>
      <c r="FF204" s="99"/>
      <c r="FG204" s="99"/>
      <c r="FH204" s="99"/>
      <c r="FI204" s="99"/>
      <c r="FJ204" s="99"/>
      <c r="FK204" s="99"/>
      <c r="FL204" s="99"/>
      <c r="FM204" s="99"/>
      <c r="FN204" s="99"/>
      <c r="FO204" s="99"/>
      <c r="FP204" s="99"/>
      <c r="FQ204" s="99"/>
      <c r="FR204" s="99"/>
      <c r="FS204" s="99"/>
      <c r="FT204" s="99"/>
      <c r="FU204" s="99"/>
    </row>
    <row r="205" spans="10:177" s="1" customFormat="1" ht="15.75">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9"/>
      <c r="FE205" s="99"/>
      <c r="FF205" s="99"/>
      <c r="FG205" s="99"/>
      <c r="FH205" s="99"/>
      <c r="FI205" s="99"/>
      <c r="FJ205" s="99"/>
      <c r="FK205" s="99"/>
      <c r="FL205" s="99"/>
      <c r="FM205" s="99"/>
      <c r="FN205" s="99"/>
      <c r="FO205" s="99"/>
      <c r="FP205" s="99"/>
      <c r="FQ205" s="99"/>
      <c r="FR205" s="99"/>
      <c r="FS205" s="99"/>
      <c r="FT205" s="99"/>
      <c r="FU205" s="99"/>
    </row>
    <row r="206" spans="10:177" s="1" customFormat="1" ht="15.75">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c r="FH206" s="99"/>
      <c r="FI206" s="99"/>
      <c r="FJ206" s="99"/>
      <c r="FK206" s="99"/>
      <c r="FL206" s="99"/>
      <c r="FM206" s="99"/>
      <c r="FN206" s="99"/>
      <c r="FO206" s="99"/>
      <c r="FP206" s="99"/>
      <c r="FQ206" s="99"/>
      <c r="FR206" s="99"/>
      <c r="FS206" s="99"/>
      <c r="FT206" s="99"/>
      <c r="FU206" s="99"/>
    </row>
    <row r="207" spans="10:177" s="1" customFormat="1" ht="15.75">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9"/>
      <c r="FE207" s="99"/>
      <c r="FF207" s="99"/>
      <c r="FG207" s="99"/>
      <c r="FH207" s="99"/>
      <c r="FI207" s="99"/>
      <c r="FJ207" s="99"/>
      <c r="FK207" s="99"/>
      <c r="FL207" s="99"/>
      <c r="FM207" s="99"/>
      <c r="FN207" s="99"/>
      <c r="FO207" s="99"/>
      <c r="FP207" s="99"/>
      <c r="FQ207" s="99"/>
      <c r="FR207" s="99"/>
      <c r="FS207" s="99"/>
      <c r="FT207" s="99"/>
      <c r="FU207" s="99"/>
    </row>
    <row r="208" spans="10:177" s="1" customFormat="1" ht="15.75">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9"/>
      <c r="FE208" s="99"/>
      <c r="FF208" s="99"/>
      <c r="FG208" s="99"/>
      <c r="FH208" s="99"/>
      <c r="FI208" s="99"/>
      <c r="FJ208" s="99"/>
      <c r="FK208" s="99"/>
      <c r="FL208" s="99"/>
      <c r="FM208" s="99"/>
      <c r="FN208" s="99"/>
      <c r="FO208" s="99"/>
      <c r="FP208" s="99"/>
      <c r="FQ208" s="99"/>
      <c r="FR208" s="99"/>
      <c r="FS208" s="99"/>
      <c r="FT208" s="99"/>
      <c r="FU208" s="99"/>
    </row>
    <row r="209" spans="10:177" s="1" customFormat="1" ht="15.75">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9"/>
      <c r="FE209" s="99"/>
      <c r="FF209" s="99"/>
      <c r="FG209" s="99"/>
      <c r="FH209" s="99"/>
      <c r="FI209" s="99"/>
      <c r="FJ209" s="99"/>
      <c r="FK209" s="99"/>
      <c r="FL209" s="99"/>
      <c r="FM209" s="99"/>
      <c r="FN209" s="99"/>
      <c r="FO209" s="99"/>
      <c r="FP209" s="99"/>
      <c r="FQ209" s="99"/>
      <c r="FR209" s="99"/>
      <c r="FS209" s="99"/>
      <c r="FT209" s="99"/>
      <c r="FU209" s="99"/>
    </row>
    <row r="210" spans="10:177" s="1" customFormat="1" ht="15.75">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99"/>
      <c r="FU210" s="99"/>
    </row>
    <row r="211" spans="10:177" s="1" customFormat="1" ht="15.75">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9"/>
      <c r="FE211" s="99"/>
      <c r="FF211" s="99"/>
      <c r="FG211" s="99"/>
      <c r="FH211" s="99"/>
      <c r="FI211" s="99"/>
      <c r="FJ211" s="99"/>
      <c r="FK211" s="99"/>
      <c r="FL211" s="99"/>
      <c r="FM211" s="99"/>
      <c r="FN211" s="99"/>
      <c r="FO211" s="99"/>
      <c r="FP211" s="99"/>
      <c r="FQ211" s="99"/>
      <c r="FR211" s="99"/>
      <c r="FS211" s="99"/>
      <c r="FT211" s="99"/>
      <c r="FU211" s="99"/>
    </row>
    <row r="212" spans="10:177" s="1" customFormat="1" ht="15.75">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9"/>
      <c r="FE212" s="99"/>
      <c r="FF212" s="99"/>
      <c r="FG212" s="99"/>
      <c r="FH212" s="99"/>
      <c r="FI212" s="99"/>
      <c r="FJ212" s="99"/>
      <c r="FK212" s="99"/>
      <c r="FL212" s="99"/>
      <c r="FM212" s="99"/>
      <c r="FN212" s="99"/>
      <c r="FO212" s="99"/>
      <c r="FP212" s="99"/>
      <c r="FQ212" s="99"/>
      <c r="FR212" s="99"/>
      <c r="FS212" s="99"/>
      <c r="FT212" s="99"/>
      <c r="FU212" s="99"/>
    </row>
    <row r="213" spans="10:177" s="1" customFormat="1" ht="15.75">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9"/>
      <c r="FE213" s="99"/>
      <c r="FF213" s="99"/>
      <c r="FG213" s="99"/>
      <c r="FH213" s="99"/>
      <c r="FI213" s="99"/>
      <c r="FJ213" s="99"/>
      <c r="FK213" s="99"/>
      <c r="FL213" s="99"/>
      <c r="FM213" s="99"/>
      <c r="FN213" s="99"/>
      <c r="FO213" s="99"/>
      <c r="FP213" s="99"/>
      <c r="FQ213" s="99"/>
      <c r="FR213" s="99"/>
      <c r="FS213" s="99"/>
      <c r="FT213" s="99"/>
      <c r="FU213" s="99"/>
    </row>
    <row r="214" spans="10:177" s="1" customFormat="1" ht="15.75">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9"/>
      <c r="FE214" s="99"/>
      <c r="FF214" s="99"/>
      <c r="FG214" s="99"/>
      <c r="FH214" s="99"/>
      <c r="FI214" s="99"/>
      <c r="FJ214" s="99"/>
      <c r="FK214" s="99"/>
      <c r="FL214" s="99"/>
      <c r="FM214" s="99"/>
      <c r="FN214" s="99"/>
      <c r="FO214" s="99"/>
      <c r="FP214" s="99"/>
      <c r="FQ214" s="99"/>
      <c r="FR214" s="99"/>
      <c r="FS214" s="99"/>
      <c r="FT214" s="99"/>
      <c r="FU214" s="99"/>
    </row>
    <row r="215" spans="10:177" s="1" customFormat="1" ht="15.75">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99"/>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9"/>
      <c r="FE215" s="99"/>
      <c r="FF215" s="99"/>
      <c r="FG215" s="99"/>
      <c r="FH215" s="99"/>
      <c r="FI215" s="99"/>
      <c r="FJ215" s="99"/>
      <c r="FK215" s="99"/>
      <c r="FL215" s="99"/>
      <c r="FM215" s="99"/>
      <c r="FN215" s="99"/>
      <c r="FO215" s="99"/>
      <c r="FP215" s="99"/>
      <c r="FQ215" s="99"/>
      <c r="FR215" s="99"/>
      <c r="FS215" s="99"/>
      <c r="FT215" s="99"/>
      <c r="FU215" s="99"/>
    </row>
    <row r="216" spans="10:177" s="1" customFormat="1" ht="15.75">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9"/>
      <c r="FE216" s="99"/>
      <c r="FF216" s="99"/>
      <c r="FG216" s="99"/>
      <c r="FH216" s="99"/>
      <c r="FI216" s="99"/>
      <c r="FJ216" s="99"/>
      <c r="FK216" s="99"/>
      <c r="FL216" s="99"/>
      <c r="FM216" s="99"/>
      <c r="FN216" s="99"/>
      <c r="FO216" s="99"/>
      <c r="FP216" s="99"/>
      <c r="FQ216" s="99"/>
      <c r="FR216" s="99"/>
      <c r="FS216" s="99"/>
      <c r="FT216" s="99"/>
      <c r="FU216" s="99"/>
    </row>
    <row r="217" spans="10:177" s="1" customFormat="1" ht="15.75">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9"/>
      <c r="FE217" s="99"/>
      <c r="FF217" s="99"/>
      <c r="FG217" s="99"/>
      <c r="FH217" s="99"/>
      <c r="FI217" s="99"/>
      <c r="FJ217" s="99"/>
      <c r="FK217" s="99"/>
      <c r="FL217" s="99"/>
      <c r="FM217" s="99"/>
      <c r="FN217" s="99"/>
      <c r="FO217" s="99"/>
      <c r="FP217" s="99"/>
      <c r="FQ217" s="99"/>
      <c r="FR217" s="99"/>
      <c r="FS217" s="99"/>
      <c r="FT217" s="99"/>
      <c r="FU217" s="99"/>
    </row>
    <row r="218" spans="10:177" s="1" customFormat="1" ht="15.75">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9"/>
      <c r="FE218" s="99"/>
      <c r="FF218" s="99"/>
      <c r="FG218" s="99"/>
      <c r="FH218" s="99"/>
      <c r="FI218" s="99"/>
      <c r="FJ218" s="99"/>
      <c r="FK218" s="99"/>
      <c r="FL218" s="99"/>
      <c r="FM218" s="99"/>
      <c r="FN218" s="99"/>
      <c r="FO218" s="99"/>
      <c r="FP218" s="99"/>
      <c r="FQ218" s="99"/>
      <c r="FR218" s="99"/>
      <c r="FS218" s="99"/>
      <c r="FT218" s="99"/>
      <c r="FU218" s="99"/>
    </row>
    <row r="219" spans="10:177" s="1" customFormat="1" ht="15.75">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row>
    <row r="220" spans="10:177" s="1" customFormat="1" ht="15.75">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row>
    <row r="221" spans="10:177" s="1" customFormat="1" ht="15.75">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9"/>
      <c r="FE221" s="99"/>
      <c r="FF221" s="99"/>
      <c r="FG221" s="99"/>
      <c r="FH221" s="99"/>
      <c r="FI221" s="99"/>
      <c r="FJ221" s="99"/>
      <c r="FK221" s="99"/>
      <c r="FL221" s="99"/>
      <c r="FM221" s="99"/>
      <c r="FN221" s="99"/>
      <c r="FO221" s="99"/>
      <c r="FP221" s="99"/>
      <c r="FQ221" s="99"/>
      <c r="FR221" s="99"/>
      <c r="FS221" s="99"/>
      <c r="FT221" s="99"/>
      <c r="FU221" s="99"/>
    </row>
    <row r="222" spans="10:177" s="1" customFormat="1" ht="15.75">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9"/>
      <c r="FE222" s="99"/>
      <c r="FF222" s="99"/>
      <c r="FG222" s="99"/>
      <c r="FH222" s="99"/>
      <c r="FI222" s="99"/>
      <c r="FJ222" s="99"/>
      <c r="FK222" s="99"/>
      <c r="FL222" s="99"/>
      <c r="FM222" s="99"/>
      <c r="FN222" s="99"/>
      <c r="FO222" s="99"/>
      <c r="FP222" s="99"/>
      <c r="FQ222" s="99"/>
      <c r="FR222" s="99"/>
      <c r="FS222" s="99"/>
      <c r="FT222" s="99"/>
      <c r="FU222" s="99"/>
    </row>
    <row r="223" spans="10:177" s="1" customFormat="1" ht="15.75">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9"/>
      <c r="FE223" s="99"/>
      <c r="FF223" s="99"/>
      <c r="FG223" s="99"/>
      <c r="FH223" s="99"/>
      <c r="FI223" s="99"/>
      <c r="FJ223" s="99"/>
      <c r="FK223" s="99"/>
      <c r="FL223" s="99"/>
      <c r="FM223" s="99"/>
      <c r="FN223" s="99"/>
      <c r="FO223" s="99"/>
      <c r="FP223" s="99"/>
      <c r="FQ223" s="99"/>
      <c r="FR223" s="99"/>
      <c r="FS223" s="99"/>
      <c r="FT223" s="99"/>
      <c r="FU223" s="99"/>
    </row>
    <row r="224" spans="10:177" s="1" customFormat="1" ht="15.75">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99"/>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9"/>
      <c r="FE224" s="99"/>
      <c r="FF224" s="99"/>
      <c r="FG224" s="99"/>
      <c r="FH224" s="99"/>
      <c r="FI224" s="99"/>
      <c r="FJ224" s="99"/>
      <c r="FK224" s="99"/>
      <c r="FL224" s="99"/>
      <c r="FM224" s="99"/>
      <c r="FN224" s="99"/>
      <c r="FO224" s="99"/>
      <c r="FP224" s="99"/>
      <c r="FQ224" s="99"/>
      <c r="FR224" s="99"/>
      <c r="FS224" s="99"/>
      <c r="FT224" s="99"/>
      <c r="FU224" s="99"/>
    </row>
    <row r="225" spans="10:177" s="1" customFormat="1" ht="15.75">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99"/>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99"/>
      <c r="FL225" s="99"/>
      <c r="FM225" s="99"/>
      <c r="FN225" s="99"/>
      <c r="FO225" s="99"/>
      <c r="FP225" s="99"/>
      <c r="FQ225" s="99"/>
      <c r="FR225" s="99"/>
      <c r="FS225" s="99"/>
      <c r="FT225" s="99"/>
      <c r="FU225" s="99"/>
    </row>
    <row r="226" spans="10:177" s="1" customFormat="1" ht="15.75">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row>
    <row r="227" spans="10:177" s="1" customFormat="1" ht="15.75">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99"/>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c r="FM227" s="99"/>
      <c r="FN227" s="99"/>
      <c r="FO227" s="99"/>
      <c r="FP227" s="99"/>
      <c r="FQ227" s="99"/>
      <c r="FR227" s="99"/>
      <c r="FS227" s="99"/>
      <c r="FT227" s="99"/>
      <c r="FU227" s="99"/>
    </row>
    <row r="228" spans="10:177" s="1" customFormat="1" ht="15.75">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row>
    <row r="229" spans="10:177" s="1" customFormat="1" ht="15.75">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99"/>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c r="FM229" s="99"/>
      <c r="FN229" s="99"/>
      <c r="FO229" s="99"/>
      <c r="FP229" s="99"/>
      <c r="FQ229" s="99"/>
      <c r="FR229" s="99"/>
      <c r="FS229" s="99"/>
      <c r="FT229" s="99"/>
      <c r="FU229" s="99"/>
    </row>
    <row r="230" spans="10:177" s="1" customFormat="1" ht="15.75">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99"/>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c r="FM230" s="99"/>
      <c r="FN230" s="99"/>
      <c r="FO230" s="99"/>
      <c r="FP230" s="99"/>
      <c r="FQ230" s="99"/>
      <c r="FR230" s="99"/>
      <c r="FS230" s="99"/>
      <c r="FT230" s="99"/>
      <c r="FU230" s="99"/>
    </row>
    <row r="231" spans="10:177" s="1" customFormat="1" ht="15.75">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99"/>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9"/>
      <c r="FE231" s="99"/>
      <c r="FF231" s="99"/>
      <c r="FG231" s="99"/>
      <c r="FH231" s="99"/>
      <c r="FI231" s="99"/>
      <c r="FJ231" s="99"/>
      <c r="FK231" s="99"/>
      <c r="FL231" s="99"/>
      <c r="FM231" s="99"/>
      <c r="FN231" s="99"/>
      <c r="FO231" s="99"/>
      <c r="FP231" s="99"/>
      <c r="FQ231" s="99"/>
      <c r="FR231" s="99"/>
      <c r="FS231" s="99"/>
      <c r="FT231" s="99"/>
      <c r="FU231" s="99"/>
    </row>
    <row r="232" spans="10:177" s="1" customFormat="1" ht="15.75">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99"/>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9"/>
      <c r="FE232" s="99"/>
      <c r="FF232" s="99"/>
      <c r="FG232" s="99"/>
      <c r="FH232" s="99"/>
      <c r="FI232" s="99"/>
      <c r="FJ232" s="99"/>
      <c r="FK232" s="99"/>
      <c r="FL232" s="99"/>
      <c r="FM232" s="99"/>
      <c r="FN232" s="99"/>
      <c r="FO232" s="99"/>
      <c r="FP232" s="99"/>
      <c r="FQ232" s="99"/>
      <c r="FR232" s="99"/>
      <c r="FS232" s="99"/>
      <c r="FT232" s="99"/>
      <c r="FU232" s="99"/>
    </row>
    <row r="233" spans="10:177" s="1" customFormat="1" ht="15.75">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99"/>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9"/>
      <c r="FE233" s="99"/>
      <c r="FF233" s="99"/>
      <c r="FG233" s="99"/>
      <c r="FH233" s="99"/>
      <c r="FI233" s="99"/>
      <c r="FJ233" s="99"/>
      <c r="FK233" s="99"/>
      <c r="FL233" s="99"/>
      <c r="FM233" s="99"/>
      <c r="FN233" s="99"/>
      <c r="FO233" s="99"/>
      <c r="FP233" s="99"/>
      <c r="FQ233" s="99"/>
      <c r="FR233" s="99"/>
      <c r="FS233" s="99"/>
      <c r="FT233" s="99"/>
      <c r="FU233" s="99"/>
    </row>
    <row r="234" spans="10:177" s="1" customFormat="1" ht="15.75">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99"/>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9"/>
      <c r="FE234" s="99"/>
      <c r="FF234" s="99"/>
      <c r="FG234" s="99"/>
      <c r="FH234" s="99"/>
      <c r="FI234" s="99"/>
      <c r="FJ234" s="99"/>
      <c r="FK234" s="99"/>
      <c r="FL234" s="99"/>
      <c r="FM234" s="99"/>
      <c r="FN234" s="99"/>
      <c r="FO234" s="99"/>
      <c r="FP234" s="99"/>
      <c r="FQ234" s="99"/>
      <c r="FR234" s="99"/>
      <c r="FS234" s="99"/>
      <c r="FT234" s="99"/>
      <c r="FU234" s="99"/>
    </row>
    <row r="235" spans="10:177" s="1" customFormat="1" ht="15.75">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99"/>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9"/>
      <c r="FE235" s="99"/>
      <c r="FF235" s="99"/>
      <c r="FG235" s="99"/>
      <c r="FH235" s="99"/>
      <c r="FI235" s="99"/>
      <c r="FJ235" s="99"/>
      <c r="FK235" s="99"/>
      <c r="FL235" s="99"/>
      <c r="FM235" s="99"/>
      <c r="FN235" s="99"/>
      <c r="FO235" s="99"/>
      <c r="FP235" s="99"/>
      <c r="FQ235" s="99"/>
      <c r="FR235" s="99"/>
      <c r="FS235" s="99"/>
      <c r="FT235" s="99"/>
      <c r="FU235" s="99"/>
    </row>
    <row r="236" spans="10:177" s="1" customFormat="1" ht="15.75">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99"/>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9"/>
      <c r="FE236" s="99"/>
      <c r="FF236" s="99"/>
      <c r="FG236" s="99"/>
      <c r="FH236" s="99"/>
      <c r="FI236" s="99"/>
      <c r="FJ236" s="99"/>
      <c r="FK236" s="99"/>
      <c r="FL236" s="99"/>
      <c r="FM236" s="99"/>
      <c r="FN236" s="99"/>
      <c r="FO236" s="99"/>
      <c r="FP236" s="99"/>
      <c r="FQ236" s="99"/>
      <c r="FR236" s="99"/>
      <c r="FS236" s="99"/>
      <c r="FT236" s="99"/>
      <c r="FU236" s="99"/>
    </row>
    <row r="237" spans="10:177" s="1" customFormat="1" ht="15.75">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99"/>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9"/>
      <c r="FE237" s="99"/>
      <c r="FF237" s="99"/>
      <c r="FG237" s="99"/>
      <c r="FH237" s="99"/>
      <c r="FI237" s="99"/>
      <c r="FJ237" s="99"/>
      <c r="FK237" s="99"/>
      <c r="FL237" s="99"/>
      <c r="FM237" s="99"/>
      <c r="FN237" s="99"/>
      <c r="FO237" s="99"/>
      <c r="FP237" s="99"/>
      <c r="FQ237" s="99"/>
      <c r="FR237" s="99"/>
      <c r="FS237" s="99"/>
      <c r="FT237" s="99"/>
      <c r="FU237" s="99"/>
    </row>
    <row r="238" spans="10:177" s="1" customFormat="1" ht="15.75">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99"/>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9"/>
      <c r="FE238" s="99"/>
      <c r="FF238" s="99"/>
      <c r="FG238" s="99"/>
      <c r="FH238" s="99"/>
      <c r="FI238" s="99"/>
      <c r="FJ238" s="99"/>
      <c r="FK238" s="99"/>
      <c r="FL238" s="99"/>
      <c r="FM238" s="99"/>
      <c r="FN238" s="99"/>
      <c r="FO238" s="99"/>
      <c r="FP238" s="99"/>
      <c r="FQ238" s="99"/>
      <c r="FR238" s="99"/>
      <c r="FS238" s="99"/>
      <c r="FT238" s="99"/>
      <c r="FU238" s="99"/>
    </row>
    <row r="239" spans="10:177" s="1" customFormat="1" ht="15.75">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99"/>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9"/>
      <c r="FE239" s="99"/>
      <c r="FF239" s="99"/>
      <c r="FG239" s="99"/>
      <c r="FH239" s="99"/>
      <c r="FI239" s="99"/>
      <c r="FJ239" s="99"/>
      <c r="FK239" s="99"/>
      <c r="FL239" s="99"/>
      <c r="FM239" s="99"/>
      <c r="FN239" s="99"/>
      <c r="FO239" s="99"/>
      <c r="FP239" s="99"/>
      <c r="FQ239" s="99"/>
      <c r="FR239" s="99"/>
      <c r="FS239" s="99"/>
      <c r="FT239" s="99"/>
      <c r="FU239" s="99"/>
    </row>
    <row r="240" spans="10:177" s="1" customFormat="1" ht="15.75">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99"/>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9"/>
      <c r="FE240" s="99"/>
      <c r="FF240" s="99"/>
      <c r="FG240" s="99"/>
      <c r="FH240" s="99"/>
      <c r="FI240" s="99"/>
      <c r="FJ240" s="99"/>
      <c r="FK240" s="99"/>
      <c r="FL240" s="99"/>
      <c r="FM240" s="99"/>
      <c r="FN240" s="99"/>
      <c r="FO240" s="99"/>
      <c r="FP240" s="99"/>
      <c r="FQ240" s="99"/>
      <c r="FR240" s="99"/>
      <c r="FS240" s="99"/>
      <c r="FT240" s="99"/>
      <c r="FU240" s="99"/>
    </row>
    <row r="241" spans="10:177" s="1" customFormat="1" ht="15.75">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99"/>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9"/>
      <c r="FE241" s="99"/>
      <c r="FF241" s="99"/>
      <c r="FG241" s="99"/>
      <c r="FH241" s="99"/>
      <c r="FI241" s="99"/>
      <c r="FJ241" s="99"/>
      <c r="FK241" s="99"/>
      <c r="FL241" s="99"/>
      <c r="FM241" s="99"/>
      <c r="FN241" s="99"/>
      <c r="FO241" s="99"/>
      <c r="FP241" s="99"/>
      <c r="FQ241" s="99"/>
      <c r="FR241" s="99"/>
      <c r="FS241" s="99"/>
      <c r="FT241" s="99"/>
      <c r="FU241" s="99"/>
    </row>
    <row r="242" spans="10:177" s="1" customFormat="1" ht="15.75">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99"/>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9"/>
      <c r="FE242" s="99"/>
      <c r="FF242" s="99"/>
      <c r="FG242" s="99"/>
      <c r="FH242" s="99"/>
      <c r="FI242" s="99"/>
      <c r="FJ242" s="99"/>
      <c r="FK242" s="99"/>
      <c r="FL242" s="99"/>
      <c r="FM242" s="99"/>
      <c r="FN242" s="99"/>
      <c r="FO242" s="99"/>
      <c r="FP242" s="99"/>
      <c r="FQ242" s="99"/>
      <c r="FR242" s="99"/>
      <c r="FS242" s="99"/>
      <c r="FT242" s="99"/>
      <c r="FU242" s="99"/>
    </row>
    <row r="243" spans="10:177" s="1" customFormat="1" ht="15.75">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9"/>
      <c r="FE243" s="99"/>
      <c r="FF243" s="99"/>
      <c r="FG243" s="99"/>
      <c r="FH243" s="99"/>
      <c r="FI243" s="99"/>
      <c r="FJ243" s="99"/>
      <c r="FK243" s="99"/>
      <c r="FL243" s="99"/>
      <c r="FM243" s="99"/>
      <c r="FN243" s="99"/>
      <c r="FO243" s="99"/>
      <c r="FP243" s="99"/>
      <c r="FQ243" s="99"/>
      <c r="FR243" s="99"/>
      <c r="FS243" s="99"/>
      <c r="FT243" s="99"/>
      <c r="FU243" s="99"/>
    </row>
    <row r="244" spans="10:177" s="1" customFormat="1" ht="15.75">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9"/>
      <c r="FE244" s="99"/>
      <c r="FF244" s="99"/>
      <c r="FG244" s="99"/>
      <c r="FH244" s="99"/>
      <c r="FI244" s="99"/>
      <c r="FJ244" s="99"/>
      <c r="FK244" s="99"/>
      <c r="FL244" s="99"/>
      <c r="FM244" s="99"/>
      <c r="FN244" s="99"/>
      <c r="FO244" s="99"/>
      <c r="FP244" s="99"/>
      <c r="FQ244" s="99"/>
      <c r="FR244" s="99"/>
      <c r="FS244" s="99"/>
      <c r="FT244" s="99"/>
      <c r="FU244" s="99"/>
    </row>
    <row r="245" spans="10:177" s="1" customFormat="1" ht="15.75">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9"/>
      <c r="FE245" s="99"/>
      <c r="FF245" s="99"/>
      <c r="FG245" s="99"/>
      <c r="FH245" s="99"/>
      <c r="FI245" s="99"/>
      <c r="FJ245" s="99"/>
      <c r="FK245" s="99"/>
      <c r="FL245" s="99"/>
      <c r="FM245" s="99"/>
      <c r="FN245" s="99"/>
      <c r="FO245" s="99"/>
      <c r="FP245" s="99"/>
      <c r="FQ245" s="99"/>
      <c r="FR245" s="99"/>
      <c r="FS245" s="99"/>
      <c r="FT245" s="99"/>
      <c r="FU245" s="99"/>
    </row>
    <row r="246" spans="10:177" s="1" customFormat="1" ht="15.75">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99"/>
      <c r="DL246" s="99"/>
      <c r="DM246" s="99"/>
      <c r="DN246" s="99"/>
      <c r="DO246" s="99"/>
      <c r="DP246" s="99"/>
      <c r="DQ246" s="99"/>
      <c r="DR246" s="99"/>
      <c r="DS246" s="99"/>
      <c r="DT246" s="99"/>
      <c r="DU246" s="99"/>
      <c r="DV246" s="99"/>
      <c r="DW246" s="99"/>
      <c r="DX246" s="99"/>
      <c r="DY246" s="99"/>
      <c r="DZ246" s="99"/>
      <c r="EA246" s="99"/>
      <c r="EB246" s="99"/>
      <c r="EC246" s="99"/>
      <c r="ED246" s="99"/>
      <c r="EE246" s="99"/>
      <c r="EF246" s="99"/>
      <c r="EG246" s="99"/>
      <c r="EH246" s="99"/>
      <c r="EI246" s="99"/>
      <c r="EJ246" s="99"/>
      <c r="EK246" s="99"/>
      <c r="EL246" s="99"/>
      <c r="EM246" s="99"/>
      <c r="EN246" s="99"/>
      <c r="EO246" s="99"/>
      <c r="EP246" s="99"/>
      <c r="EQ246" s="99"/>
      <c r="ER246" s="99"/>
      <c r="ES246" s="99"/>
      <c r="ET246" s="99"/>
      <c r="EU246" s="99"/>
      <c r="EV246" s="99"/>
      <c r="EW246" s="99"/>
      <c r="EX246" s="99"/>
      <c r="EY246" s="99"/>
      <c r="EZ246" s="99"/>
      <c r="FA246" s="99"/>
      <c r="FB246" s="99"/>
      <c r="FC246" s="99"/>
      <c r="FD246" s="99"/>
      <c r="FE246" s="99"/>
      <c r="FF246" s="99"/>
      <c r="FG246" s="99"/>
      <c r="FH246" s="99"/>
      <c r="FI246" s="99"/>
      <c r="FJ246" s="99"/>
      <c r="FK246" s="99"/>
      <c r="FL246" s="99"/>
      <c r="FM246" s="99"/>
      <c r="FN246" s="99"/>
      <c r="FO246" s="99"/>
      <c r="FP246" s="99"/>
      <c r="FQ246" s="99"/>
      <c r="FR246" s="99"/>
      <c r="FS246" s="99"/>
      <c r="FT246" s="99"/>
      <c r="FU246" s="99"/>
    </row>
    <row r="247" spans="10:177" s="1" customFormat="1" ht="15.75">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9"/>
      <c r="FE247" s="99"/>
      <c r="FF247" s="99"/>
      <c r="FG247" s="99"/>
      <c r="FH247" s="99"/>
      <c r="FI247" s="99"/>
      <c r="FJ247" s="99"/>
      <c r="FK247" s="99"/>
      <c r="FL247" s="99"/>
      <c r="FM247" s="99"/>
      <c r="FN247" s="99"/>
      <c r="FO247" s="99"/>
      <c r="FP247" s="99"/>
      <c r="FQ247" s="99"/>
      <c r="FR247" s="99"/>
      <c r="FS247" s="99"/>
      <c r="FT247" s="99"/>
      <c r="FU247" s="99"/>
    </row>
    <row r="248" spans="10:177" s="1" customFormat="1" ht="15.75">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c r="FM248" s="99"/>
      <c r="FN248" s="99"/>
      <c r="FO248" s="99"/>
      <c r="FP248" s="99"/>
      <c r="FQ248" s="99"/>
      <c r="FR248" s="99"/>
      <c r="FS248" s="99"/>
      <c r="FT248" s="99"/>
      <c r="FU248" s="99"/>
    </row>
    <row r="249" spans="10:177" s="1" customFormat="1" ht="15.75">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99"/>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9"/>
      <c r="FE249" s="99"/>
      <c r="FF249" s="99"/>
      <c r="FG249" s="99"/>
      <c r="FH249" s="99"/>
      <c r="FI249" s="99"/>
      <c r="FJ249" s="99"/>
      <c r="FK249" s="99"/>
      <c r="FL249" s="99"/>
      <c r="FM249" s="99"/>
      <c r="FN249" s="99"/>
      <c r="FO249" s="99"/>
      <c r="FP249" s="99"/>
      <c r="FQ249" s="99"/>
      <c r="FR249" s="99"/>
      <c r="FS249" s="99"/>
      <c r="FT249" s="99"/>
      <c r="FU249" s="99"/>
    </row>
    <row r="250" spans="10:177" s="1" customFormat="1" ht="15.75">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c r="DK250" s="99"/>
      <c r="DL250" s="99"/>
      <c r="DM250" s="99"/>
      <c r="DN250" s="99"/>
      <c r="DO250" s="99"/>
      <c r="DP250" s="99"/>
      <c r="DQ250" s="99"/>
      <c r="DR250" s="99"/>
      <c r="DS250" s="99"/>
      <c r="DT250" s="99"/>
      <c r="DU250" s="99"/>
      <c r="DV250" s="99"/>
      <c r="DW250" s="99"/>
      <c r="DX250" s="99"/>
      <c r="DY250" s="99"/>
      <c r="DZ250" s="99"/>
      <c r="EA250" s="99"/>
      <c r="EB250" s="99"/>
      <c r="EC250" s="99"/>
      <c r="ED250" s="99"/>
      <c r="EE250" s="99"/>
      <c r="EF250" s="99"/>
      <c r="EG250" s="99"/>
      <c r="EH250" s="99"/>
      <c r="EI250" s="99"/>
      <c r="EJ250" s="99"/>
      <c r="EK250" s="99"/>
      <c r="EL250" s="99"/>
      <c r="EM250" s="99"/>
      <c r="EN250" s="99"/>
      <c r="EO250" s="99"/>
      <c r="EP250" s="99"/>
      <c r="EQ250" s="99"/>
      <c r="ER250" s="99"/>
      <c r="ES250" s="99"/>
      <c r="ET250" s="99"/>
      <c r="EU250" s="99"/>
      <c r="EV250" s="99"/>
      <c r="EW250" s="99"/>
      <c r="EX250" s="99"/>
      <c r="EY250" s="99"/>
      <c r="EZ250" s="99"/>
      <c r="FA250" s="99"/>
      <c r="FB250" s="99"/>
      <c r="FC250" s="99"/>
      <c r="FD250" s="99"/>
      <c r="FE250" s="99"/>
      <c r="FF250" s="99"/>
      <c r="FG250" s="99"/>
      <c r="FH250" s="99"/>
      <c r="FI250" s="99"/>
      <c r="FJ250" s="99"/>
      <c r="FK250" s="99"/>
      <c r="FL250" s="99"/>
      <c r="FM250" s="99"/>
      <c r="FN250" s="99"/>
      <c r="FO250" s="99"/>
      <c r="FP250" s="99"/>
      <c r="FQ250" s="99"/>
      <c r="FR250" s="99"/>
      <c r="FS250" s="99"/>
      <c r="FT250" s="99"/>
      <c r="FU250" s="99"/>
    </row>
    <row r="251" spans="10:177" s="1" customFormat="1" ht="15.75">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99"/>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9"/>
      <c r="FE251" s="99"/>
      <c r="FF251" s="99"/>
      <c r="FG251" s="99"/>
      <c r="FH251" s="99"/>
      <c r="FI251" s="99"/>
      <c r="FJ251" s="99"/>
      <c r="FK251" s="99"/>
      <c r="FL251" s="99"/>
      <c r="FM251" s="99"/>
      <c r="FN251" s="99"/>
      <c r="FO251" s="99"/>
      <c r="FP251" s="99"/>
      <c r="FQ251" s="99"/>
      <c r="FR251" s="99"/>
      <c r="FS251" s="99"/>
      <c r="FT251" s="99"/>
      <c r="FU251" s="99"/>
    </row>
    <row r="252" spans="10:177" s="1" customFormat="1" ht="15.75">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99"/>
      <c r="FK252" s="99"/>
      <c r="FL252" s="99"/>
      <c r="FM252" s="99"/>
      <c r="FN252" s="99"/>
      <c r="FO252" s="99"/>
      <c r="FP252" s="99"/>
      <c r="FQ252" s="99"/>
      <c r="FR252" s="99"/>
      <c r="FS252" s="99"/>
      <c r="FT252" s="99"/>
      <c r="FU252" s="99"/>
    </row>
    <row r="253" spans="10:177" s="1" customFormat="1" ht="15.75">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c r="DK253" s="99"/>
      <c r="DL253" s="99"/>
      <c r="DM253" s="99"/>
      <c r="DN253" s="99"/>
      <c r="DO253" s="99"/>
      <c r="DP253" s="99"/>
      <c r="DQ253" s="99"/>
      <c r="DR253" s="99"/>
      <c r="DS253" s="99"/>
      <c r="DT253" s="99"/>
      <c r="DU253" s="99"/>
      <c r="DV253" s="99"/>
      <c r="DW253" s="99"/>
      <c r="DX253" s="99"/>
      <c r="DY253" s="99"/>
      <c r="DZ253" s="99"/>
      <c r="EA253" s="99"/>
      <c r="EB253" s="99"/>
      <c r="EC253" s="99"/>
      <c r="ED253" s="99"/>
      <c r="EE253" s="99"/>
      <c r="EF253" s="99"/>
      <c r="EG253" s="99"/>
      <c r="EH253" s="99"/>
      <c r="EI253" s="99"/>
      <c r="EJ253" s="99"/>
      <c r="EK253" s="99"/>
      <c r="EL253" s="99"/>
      <c r="EM253" s="99"/>
      <c r="EN253" s="99"/>
      <c r="EO253" s="99"/>
      <c r="EP253" s="99"/>
      <c r="EQ253" s="99"/>
      <c r="ER253" s="99"/>
      <c r="ES253" s="99"/>
      <c r="ET253" s="99"/>
      <c r="EU253" s="99"/>
      <c r="EV253" s="99"/>
      <c r="EW253" s="99"/>
      <c r="EX253" s="99"/>
      <c r="EY253" s="99"/>
      <c r="EZ253" s="99"/>
      <c r="FA253" s="99"/>
      <c r="FB253" s="99"/>
      <c r="FC253" s="99"/>
      <c r="FD253" s="99"/>
      <c r="FE253" s="99"/>
      <c r="FF253" s="99"/>
      <c r="FG253" s="99"/>
      <c r="FH253" s="99"/>
      <c r="FI253" s="99"/>
      <c r="FJ253" s="99"/>
      <c r="FK253" s="99"/>
      <c r="FL253" s="99"/>
      <c r="FM253" s="99"/>
      <c r="FN253" s="99"/>
      <c r="FO253" s="99"/>
      <c r="FP253" s="99"/>
      <c r="FQ253" s="99"/>
      <c r="FR253" s="99"/>
      <c r="FS253" s="99"/>
      <c r="FT253" s="99"/>
      <c r="FU253" s="99"/>
    </row>
    <row r="254" spans="10:177" s="1" customFormat="1" ht="15.75">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99"/>
      <c r="FK254" s="99"/>
      <c r="FL254" s="99"/>
      <c r="FM254" s="99"/>
      <c r="FN254" s="99"/>
      <c r="FO254" s="99"/>
      <c r="FP254" s="99"/>
      <c r="FQ254" s="99"/>
      <c r="FR254" s="99"/>
      <c r="FS254" s="99"/>
      <c r="FT254" s="99"/>
      <c r="FU254" s="99"/>
    </row>
    <row r="255" spans="10:177" s="1" customFormat="1" ht="15.75">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99"/>
      <c r="FK255" s="99"/>
      <c r="FL255" s="99"/>
      <c r="FM255" s="99"/>
      <c r="FN255" s="99"/>
      <c r="FO255" s="99"/>
      <c r="FP255" s="99"/>
      <c r="FQ255" s="99"/>
      <c r="FR255" s="99"/>
      <c r="FS255" s="99"/>
      <c r="FT255" s="99"/>
      <c r="FU255" s="99"/>
    </row>
    <row r="256" spans="10:177" s="1" customFormat="1" ht="15.75">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99"/>
      <c r="FK256" s="99"/>
      <c r="FL256" s="99"/>
      <c r="FM256" s="99"/>
      <c r="FN256" s="99"/>
      <c r="FO256" s="99"/>
      <c r="FP256" s="99"/>
      <c r="FQ256" s="99"/>
      <c r="FR256" s="99"/>
      <c r="FS256" s="99"/>
      <c r="FT256" s="99"/>
      <c r="FU256" s="99"/>
    </row>
    <row r="257" spans="10:177" s="1" customFormat="1" ht="15.75">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99"/>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9"/>
      <c r="FE257" s="99"/>
      <c r="FF257" s="99"/>
      <c r="FG257" s="99"/>
      <c r="FH257" s="99"/>
      <c r="FI257" s="99"/>
      <c r="FJ257" s="99"/>
      <c r="FK257" s="99"/>
      <c r="FL257" s="99"/>
      <c r="FM257" s="99"/>
      <c r="FN257" s="99"/>
      <c r="FO257" s="99"/>
      <c r="FP257" s="99"/>
      <c r="FQ257" s="99"/>
      <c r="FR257" s="99"/>
      <c r="FS257" s="99"/>
      <c r="FT257" s="99"/>
      <c r="FU257" s="99"/>
    </row>
    <row r="258" spans="10:177" s="1" customFormat="1" ht="15.75">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99"/>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9"/>
      <c r="FE258" s="99"/>
      <c r="FF258" s="99"/>
      <c r="FG258" s="99"/>
      <c r="FH258" s="99"/>
      <c r="FI258" s="99"/>
      <c r="FJ258" s="99"/>
      <c r="FK258" s="99"/>
      <c r="FL258" s="99"/>
      <c r="FM258" s="99"/>
      <c r="FN258" s="99"/>
      <c r="FO258" s="99"/>
      <c r="FP258" s="99"/>
      <c r="FQ258" s="99"/>
      <c r="FR258" s="99"/>
      <c r="FS258" s="99"/>
      <c r="FT258" s="99"/>
      <c r="FU258" s="99"/>
    </row>
    <row r="259" spans="10:177" s="1" customFormat="1" ht="15.75">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99"/>
      <c r="FK259" s="99"/>
      <c r="FL259" s="99"/>
      <c r="FM259" s="99"/>
      <c r="FN259" s="99"/>
      <c r="FO259" s="99"/>
      <c r="FP259" s="99"/>
      <c r="FQ259" s="99"/>
      <c r="FR259" s="99"/>
      <c r="FS259" s="99"/>
      <c r="FT259" s="99"/>
      <c r="FU259" s="99"/>
    </row>
    <row r="260" spans="10:177" s="1" customFormat="1" ht="15.75">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99"/>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9"/>
      <c r="FE260" s="99"/>
      <c r="FF260" s="99"/>
      <c r="FG260" s="99"/>
      <c r="FH260" s="99"/>
      <c r="FI260" s="99"/>
      <c r="FJ260" s="99"/>
      <c r="FK260" s="99"/>
      <c r="FL260" s="99"/>
      <c r="FM260" s="99"/>
      <c r="FN260" s="99"/>
      <c r="FO260" s="99"/>
      <c r="FP260" s="99"/>
      <c r="FQ260" s="99"/>
      <c r="FR260" s="99"/>
      <c r="FS260" s="99"/>
      <c r="FT260" s="99"/>
      <c r="FU260" s="99"/>
    </row>
    <row r="261" spans="10:177" s="1" customFormat="1" ht="15.75">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99"/>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9"/>
      <c r="FE261" s="99"/>
      <c r="FF261" s="99"/>
      <c r="FG261" s="99"/>
      <c r="FH261" s="99"/>
      <c r="FI261" s="99"/>
      <c r="FJ261" s="99"/>
      <c r="FK261" s="99"/>
      <c r="FL261" s="99"/>
      <c r="FM261" s="99"/>
      <c r="FN261" s="99"/>
      <c r="FO261" s="99"/>
      <c r="FP261" s="99"/>
      <c r="FQ261" s="99"/>
      <c r="FR261" s="99"/>
      <c r="FS261" s="99"/>
      <c r="FT261" s="99"/>
      <c r="FU261" s="99"/>
    </row>
    <row r="262" spans="10:177" s="1" customFormat="1" ht="15.75">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99"/>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9"/>
      <c r="FE262" s="99"/>
      <c r="FF262" s="99"/>
      <c r="FG262" s="99"/>
      <c r="FH262" s="99"/>
      <c r="FI262" s="99"/>
      <c r="FJ262" s="99"/>
      <c r="FK262" s="99"/>
      <c r="FL262" s="99"/>
      <c r="FM262" s="99"/>
      <c r="FN262" s="99"/>
      <c r="FO262" s="99"/>
      <c r="FP262" s="99"/>
      <c r="FQ262" s="99"/>
      <c r="FR262" s="99"/>
      <c r="FS262" s="99"/>
      <c r="FT262" s="99"/>
      <c r="FU262" s="99"/>
    </row>
    <row r="263" spans="10:177" s="1" customFormat="1" ht="15.75">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99"/>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9"/>
      <c r="FE263" s="99"/>
      <c r="FF263" s="99"/>
      <c r="FG263" s="99"/>
      <c r="FH263" s="99"/>
      <c r="FI263" s="99"/>
      <c r="FJ263" s="99"/>
      <c r="FK263" s="99"/>
      <c r="FL263" s="99"/>
      <c r="FM263" s="99"/>
      <c r="FN263" s="99"/>
      <c r="FO263" s="99"/>
      <c r="FP263" s="99"/>
      <c r="FQ263" s="99"/>
      <c r="FR263" s="99"/>
      <c r="FS263" s="99"/>
      <c r="FT263" s="99"/>
      <c r="FU263" s="99"/>
    </row>
    <row r="264" spans="10:177" s="1" customFormat="1" ht="15.75">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99"/>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9"/>
      <c r="FE264" s="99"/>
      <c r="FF264" s="99"/>
      <c r="FG264" s="99"/>
      <c r="FH264" s="99"/>
      <c r="FI264" s="99"/>
      <c r="FJ264" s="99"/>
      <c r="FK264" s="99"/>
      <c r="FL264" s="99"/>
      <c r="FM264" s="99"/>
      <c r="FN264" s="99"/>
      <c r="FO264" s="99"/>
      <c r="FP264" s="99"/>
      <c r="FQ264" s="99"/>
      <c r="FR264" s="99"/>
      <c r="FS264" s="99"/>
      <c r="FT264" s="99"/>
      <c r="FU264" s="99"/>
    </row>
    <row r="265" spans="10:177" s="1" customFormat="1" ht="15.75">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99"/>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9"/>
      <c r="FE265" s="99"/>
      <c r="FF265" s="99"/>
      <c r="FG265" s="99"/>
      <c r="FH265" s="99"/>
      <c r="FI265" s="99"/>
      <c r="FJ265" s="99"/>
      <c r="FK265" s="99"/>
      <c r="FL265" s="99"/>
      <c r="FM265" s="99"/>
      <c r="FN265" s="99"/>
      <c r="FO265" s="99"/>
      <c r="FP265" s="99"/>
      <c r="FQ265" s="99"/>
      <c r="FR265" s="99"/>
      <c r="FS265" s="99"/>
      <c r="FT265" s="99"/>
      <c r="FU265" s="99"/>
    </row>
    <row r="266" spans="10:177" s="1" customFormat="1" ht="15.75">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99"/>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9"/>
      <c r="FE266" s="99"/>
      <c r="FF266" s="99"/>
      <c r="FG266" s="99"/>
      <c r="FH266" s="99"/>
      <c r="FI266" s="99"/>
      <c r="FJ266" s="99"/>
      <c r="FK266" s="99"/>
      <c r="FL266" s="99"/>
      <c r="FM266" s="99"/>
      <c r="FN266" s="99"/>
      <c r="FO266" s="99"/>
      <c r="FP266" s="99"/>
      <c r="FQ266" s="99"/>
      <c r="FR266" s="99"/>
      <c r="FS266" s="99"/>
      <c r="FT266" s="99"/>
      <c r="FU266" s="99"/>
    </row>
    <row r="267" spans="10:177" s="1" customFormat="1" ht="15.75">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99"/>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9"/>
      <c r="FE267" s="99"/>
      <c r="FF267" s="99"/>
      <c r="FG267" s="99"/>
      <c r="FH267" s="99"/>
      <c r="FI267" s="99"/>
      <c r="FJ267" s="99"/>
      <c r="FK267" s="99"/>
      <c r="FL267" s="99"/>
      <c r="FM267" s="99"/>
      <c r="FN267" s="99"/>
      <c r="FO267" s="99"/>
      <c r="FP267" s="99"/>
      <c r="FQ267" s="99"/>
      <c r="FR267" s="99"/>
      <c r="FS267" s="99"/>
      <c r="FT267" s="99"/>
      <c r="FU267" s="99"/>
    </row>
    <row r="268" spans="10:177" s="1" customFormat="1" ht="15.75">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99"/>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9"/>
      <c r="FE268" s="99"/>
      <c r="FF268" s="99"/>
      <c r="FG268" s="99"/>
      <c r="FH268" s="99"/>
      <c r="FI268" s="99"/>
      <c r="FJ268" s="99"/>
      <c r="FK268" s="99"/>
      <c r="FL268" s="99"/>
      <c r="FM268" s="99"/>
      <c r="FN268" s="99"/>
      <c r="FO268" s="99"/>
      <c r="FP268" s="99"/>
      <c r="FQ268" s="99"/>
      <c r="FR268" s="99"/>
      <c r="FS268" s="99"/>
      <c r="FT268" s="99"/>
      <c r="FU268" s="99"/>
    </row>
    <row r="269" spans="10:177" s="1" customFormat="1" ht="15.75">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99"/>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9"/>
      <c r="FE269" s="99"/>
      <c r="FF269" s="99"/>
      <c r="FG269" s="99"/>
      <c r="FH269" s="99"/>
      <c r="FI269" s="99"/>
      <c r="FJ269" s="99"/>
      <c r="FK269" s="99"/>
      <c r="FL269" s="99"/>
      <c r="FM269" s="99"/>
      <c r="FN269" s="99"/>
      <c r="FO269" s="99"/>
      <c r="FP269" s="99"/>
      <c r="FQ269" s="99"/>
      <c r="FR269" s="99"/>
      <c r="FS269" s="99"/>
      <c r="FT269" s="99"/>
      <c r="FU269" s="99"/>
    </row>
    <row r="270" spans="10:177" s="1" customFormat="1" ht="15.75">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c r="FH270" s="99"/>
      <c r="FI270" s="99"/>
      <c r="FJ270" s="99"/>
      <c r="FK270" s="99"/>
      <c r="FL270" s="99"/>
      <c r="FM270" s="99"/>
      <c r="FN270" s="99"/>
      <c r="FO270" s="99"/>
      <c r="FP270" s="99"/>
      <c r="FQ270" s="99"/>
      <c r="FR270" s="99"/>
      <c r="FS270" s="99"/>
      <c r="FT270" s="99"/>
      <c r="FU270" s="99"/>
    </row>
    <row r="271" spans="10:177" s="1" customFormat="1" ht="15.75">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99"/>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9"/>
      <c r="FE271" s="99"/>
      <c r="FF271" s="99"/>
      <c r="FG271" s="99"/>
      <c r="FH271" s="99"/>
      <c r="FI271" s="99"/>
      <c r="FJ271" s="99"/>
      <c r="FK271" s="99"/>
      <c r="FL271" s="99"/>
      <c r="FM271" s="99"/>
      <c r="FN271" s="99"/>
      <c r="FO271" s="99"/>
      <c r="FP271" s="99"/>
      <c r="FQ271" s="99"/>
      <c r="FR271" s="99"/>
      <c r="FS271" s="99"/>
      <c r="FT271" s="99"/>
      <c r="FU271" s="99"/>
    </row>
    <row r="272" spans="10:177" s="1" customFormat="1" ht="15.75">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99"/>
      <c r="CY272" s="99"/>
      <c r="CZ272" s="99"/>
      <c r="DA272" s="99"/>
      <c r="DB272" s="99"/>
      <c r="DC272" s="99"/>
      <c r="DD272" s="99"/>
      <c r="DE272" s="99"/>
      <c r="DF272" s="99"/>
      <c r="DG272" s="99"/>
      <c r="DH272" s="99"/>
      <c r="DI272" s="99"/>
      <c r="DJ272" s="99"/>
      <c r="DK272" s="99"/>
      <c r="DL272" s="99"/>
      <c r="DM272" s="99"/>
      <c r="DN272" s="99"/>
      <c r="DO272" s="99"/>
      <c r="DP272" s="99"/>
      <c r="DQ272" s="99"/>
      <c r="DR272" s="99"/>
      <c r="DS272" s="99"/>
      <c r="DT272" s="99"/>
      <c r="DU272" s="99"/>
      <c r="DV272" s="99"/>
      <c r="DW272" s="99"/>
      <c r="DX272" s="99"/>
      <c r="DY272" s="99"/>
      <c r="DZ272" s="99"/>
      <c r="EA272" s="99"/>
      <c r="EB272" s="99"/>
      <c r="EC272" s="99"/>
      <c r="ED272" s="99"/>
      <c r="EE272" s="99"/>
      <c r="EF272" s="99"/>
      <c r="EG272" s="99"/>
      <c r="EH272" s="99"/>
      <c r="EI272" s="99"/>
      <c r="EJ272" s="99"/>
      <c r="EK272" s="99"/>
      <c r="EL272" s="99"/>
      <c r="EM272" s="99"/>
      <c r="EN272" s="99"/>
      <c r="EO272" s="99"/>
      <c r="EP272" s="99"/>
      <c r="EQ272" s="99"/>
      <c r="ER272" s="99"/>
      <c r="ES272" s="99"/>
      <c r="ET272" s="99"/>
      <c r="EU272" s="99"/>
      <c r="EV272" s="99"/>
      <c r="EW272" s="99"/>
      <c r="EX272" s="99"/>
      <c r="EY272" s="99"/>
      <c r="EZ272" s="99"/>
      <c r="FA272" s="99"/>
      <c r="FB272" s="99"/>
      <c r="FC272" s="99"/>
      <c r="FD272" s="99"/>
      <c r="FE272" s="99"/>
      <c r="FF272" s="99"/>
      <c r="FG272" s="99"/>
      <c r="FH272" s="99"/>
      <c r="FI272" s="99"/>
      <c r="FJ272" s="99"/>
      <c r="FK272" s="99"/>
      <c r="FL272" s="99"/>
      <c r="FM272" s="99"/>
      <c r="FN272" s="99"/>
      <c r="FO272" s="99"/>
      <c r="FP272" s="99"/>
      <c r="FQ272" s="99"/>
      <c r="FR272" s="99"/>
      <c r="FS272" s="99"/>
      <c r="FT272" s="99"/>
      <c r="FU272" s="99"/>
    </row>
    <row r="273" spans="10:177" s="1" customFormat="1" ht="15.75">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99"/>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9"/>
      <c r="FE273" s="99"/>
      <c r="FF273" s="99"/>
      <c r="FG273" s="99"/>
      <c r="FH273" s="99"/>
      <c r="FI273" s="99"/>
      <c r="FJ273" s="99"/>
      <c r="FK273" s="99"/>
      <c r="FL273" s="99"/>
      <c r="FM273" s="99"/>
      <c r="FN273" s="99"/>
      <c r="FO273" s="99"/>
      <c r="FP273" s="99"/>
      <c r="FQ273" s="99"/>
      <c r="FR273" s="99"/>
      <c r="FS273" s="99"/>
      <c r="FT273" s="99"/>
      <c r="FU273" s="99"/>
    </row>
    <row r="274" spans="10:177" s="1" customFormat="1" ht="15.75">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99"/>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9"/>
      <c r="FE274" s="99"/>
      <c r="FF274" s="99"/>
      <c r="FG274" s="99"/>
      <c r="FH274" s="99"/>
      <c r="FI274" s="99"/>
      <c r="FJ274" s="99"/>
      <c r="FK274" s="99"/>
      <c r="FL274" s="99"/>
      <c r="FM274" s="99"/>
      <c r="FN274" s="99"/>
      <c r="FO274" s="99"/>
      <c r="FP274" s="99"/>
      <c r="FQ274" s="99"/>
      <c r="FR274" s="99"/>
      <c r="FS274" s="99"/>
      <c r="FT274" s="99"/>
      <c r="FU274" s="99"/>
    </row>
    <row r="275" spans="10:177" s="1" customFormat="1" ht="15.75">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99"/>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9"/>
      <c r="FE275" s="99"/>
      <c r="FF275" s="99"/>
      <c r="FG275" s="99"/>
      <c r="FH275" s="99"/>
      <c r="FI275" s="99"/>
      <c r="FJ275" s="99"/>
      <c r="FK275" s="99"/>
      <c r="FL275" s="99"/>
      <c r="FM275" s="99"/>
      <c r="FN275" s="99"/>
      <c r="FO275" s="99"/>
      <c r="FP275" s="99"/>
      <c r="FQ275" s="99"/>
      <c r="FR275" s="99"/>
      <c r="FS275" s="99"/>
      <c r="FT275" s="99"/>
      <c r="FU275" s="99"/>
    </row>
    <row r="276" spans="10:177" s="1" customFormat="1" ht="15.75">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99"/>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9"/>
      <c r="FE276" s="99"/>
      <c r="FF276" s="99"/>
      <c r="FG276" s="99"/>
      <c r="FH276" s="99"/>
      <c r="FI276" s="99"/>
      <c r="FJ276" s="99"/>
      <c r="FK276" s="99"/>
      <c r="FL276" s="99"/>
      <c r="FM276" s="99"/>
      <c r="FN276" s="99"/>
      <c r="FO276" s="99"/>
      <c r="FP276" s="99"/>
      <c r="FQ276" s="99"/>
      <c r="FR276" s="99"/>
      <c r="FS276" s="99"/>
      <c r="FT276" s="99"/>
      <c r="FU276" s="99"/>
    </row>
    <row r="277" spans="10:177" s="1" customFormat="1" ht="15.75">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99"/>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99"/>
      <c r="FU277" s="99"/>
    </row>
    <row r="278" spans="10:177" s="1" customFormat="1" ht="15.75">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99"/>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9"/>
      <c r="FE278" s="99"/>
      <c r="FF278" s="99"/>
      <c r="FG278" s="99"/>
      <c r="FH278" s="99"/>
      <c r="FI278" s="99"/>
      <c r="FJ278" s="99"/>
      <c r="FK278" s="99"/>
      <c r="FL278" s="99"/>
      <c r="FM278" s="99"/>
      <c r="FN278" s="99"/>
      <c r="FO278" s="99"/>
      <c r="FP278" s="99"/>
      <c r="FQ278" s="99"/>
      <c r="FR278" s="99"/>
      <c r="FS278" s="99"/>
      <c r="FT278" s="99"/>
      <c r="FU278" s="99"/>
    </row>
    <row r="279" spans="10:177" s="1" customFormat="1" ht="15.75">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99"/>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9"/>
      <c r="FE279" s="99"/>
      <c r="FF279" s="99"/>
      <c r="FG279" s="99"/>
      <c r="FH279" s="99"/>
      <c r="FI279" s="99"/>
      <c r="FJ279" s="99"/>
      <c r="FK279" s="99"/>
      <c r="FL279" s="99"/>
      <c r="FM279" s="99"/>
      <c r="FN279" s="99"/>
      <c r="FO279" s="99"/>
      <c r="FP279" s="99"/>
      <c r="FQ279" s="99"/>
      <c r="FR279" s="99"/>
      <c r="FS279" s="99"/>
      <c r="FT279" s="99"/>
      <c r="FU279" s="99"/>
    </row>
    <row r="280" spans="10:177" s="1" customFormat="1" ht="15.75">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99"/>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9"/>
      <c r="FE280" s="99"/>
      <c r="FF280" s="99"/>
      <c r="FG280" s="99"/>
      <c r="FH280" s="99"/>
      <c r="FI280" s="99"/>
      <c r="FJ280" s="99"/>
      <c r="FK280" s="99"/>
      <c r="FL280" s="99"/>
      <c r="FM280" s="99"/>
      <c r="FN280" s="99"/>
      <c r="FO280" s="99"/>
      <c r="FP280" s="99"/>
      <c r="FQ280" s="99"/>
      <c r="FR280" s="99"/>
      <c r="FS280" s="99"/>
      <c r="FT280" s="99"/>
      <c r="FU280" s="99"/>
    </row>
    <row r="281" spans="10:177" s="1" customFormat="1" ht="15.75">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99"/>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9"/>
      <c r="FE281" s="99"/>
      <c r="FF281" s="99"/>
      <c r="FG281" s="99"/>
      <c r="FH281" s="99"/>
      <c r="FI281" s="99"/>
      <c r="FJ281" s="99"/>
      <c r="FK281" s="99"/>
      <c r="FL281" s="99"/>
      <c r="FM281" s="99"/>
      <c r="FN281" s="99"/>
      <c r="FO281" s="99"/>
      <c r="FP281" s="99"/>
      <c r="FQ281" s="99"/>
      <c r="FR281" s="99"/>
      <c r="FS281" s="99"/>
      <c r="FT281" s="99"/>
      <c r="FU281" s="99"/>
    </row>
    <row r="282" spans="10:177" s="1" customFormat="1" ht="15.75">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99"/>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9"/>
      <c r="FE282" s="99"/>
      <c r="FF282" s="99"/>
      <c r="FG282" s="99"/>
      <c r="FH282" s="99"/>
      <c r="FI282" s="99"/>
      <c r="FJ282" s="99"/>
      <c r="FK282" s="99"/>
      <c r="FL282" s="99"/>
      <c r="FM282" s="99"/>
      <c r="FN282" s="99"/>
      <c r="FO282" s="99"/>
      <c r="FP282" s="99"/>
      <c r="FQ282" s="99"/>
      <c r="FR282" s="99"/>
      <c r="FS282" s="99"/>
      <c r="FT282" s="99"/>
      <c r="FU282" s="99"/>
    </row>
    <row r="283" spans="10:177" s="1" customFormat="1" ht="15.75">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99"/>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9"/>
      <c r="FE283" s="99"/>
      <c r="FF283" s="99"/>
      <c r="FG283" s="99"/>
      <c r="FH283" s="99"/>
      <c r="FI283" s="99"/>
      <c r="FJ283" s="99"/>
      <c r="FK283" s="99"/>
      <c r="FL283" s="99"/>
      <c r="FM283" s="99"/>
      <c r="FN283" s="99"/>
      <c r="FO283" s="99"/>
      <c r="FP283" s="99"/>
      <c r="FQ283" s="99"/>
      <c r="FR283" s="99"/>
      <c r="FS283" s="99"/>
      <c r="FT283" s="99"/>
      <c r="FU283" s="99"/>
    </row>
    <row r="284" spans="10:177" s="1" customFormat="1" ht="15.75">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99"/>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9"/>
      <c r="FE284" s="99"/>
      <c r="FF284" s="99"/>
      <c r="FG284" s="99"/>
      <c r="FH284" s="99"/>
      <c r="FI284" s="99"/>
      <c r="FJ284" s="99"/>
      <c r="FK284" s="99"/>
      <c r="FL284" s="99"/>
      <c r="FM284" s="99"/>
      <c r="FN284" s="99"/>
      <c r="FO284" s="99"/>
      <c r="FP284" s="99"/>
      <c r="FQ284" s="99"/>
      <c r="FR284" s="99"/>
      <c r="FS284" s="99"/>
      <c r="FT284" s="99"/>
      <c r="FU284" s="99"/>
    </row>
    <row r="285" spans="10:177" s="1" customFormat="1" ht="15.75">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99"/>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9"/>
      <c r="FE285" s="99"/>
      <c r="FF285" s="99"/>
      <c r="FG285" s="99"/>
      <c r="FH285" s="99"/>
      <c r="FI285" s="99"/>
      <c r="FJ285" s="99"/>
      <c r="FK285" s="99"/>
      <c r="FL285" s="99"/>
      <c r="FM285" s="99"/>
      <c r="FN285" s="99"/>
      <c r="FO285" s="99"/>
      <c r="FP285" s="99"/>
      <c r="FQ285" s="99"/>
      <c r="FR285" s="99"/>
      <c r="FS285" s="99"/>
      <c r="FT285" s="99"/>
      <c r="FU285" s="99"/>
    </row>
    <row r="286" spans="10:177" s="1" customFormat="1" ht="15.75">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99"/>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9"/>
      <c r="FE286" s="99"/>
      <c r="FF286" s="99"/>
      <c r="FG286" s="99"/>
      <c r="FH286" s="99"/>
      <c r="FI286" s="99"/>
      <c r="FJ286" s="99"/>
      <c r="FK286" s="99"/>
      <c r="FL286" s="99"/>
      <c r="FM286" s="99"/>
      <c r="FN286" s="99"/>
      <c r="FO286" s="99"/>
      <c r="FP286" s="99"/>
      <c r="FQ286" s="99"/>
      <c r="FR286" s="99"/>
      <c r="FS286" s="99"/>
      <c r="FT286" s="99"/>
      <c r="FU286" s="99"/>
    </row>
    <row r="287" spans="10:177" s="1" customFormat="1" ht="15.75">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DZ287" s="99"/>
      <c r="EA287" s="99"/>
      <c r="EB287" s="99"/>
      <c r="EC287" s="99"/>
      <c r="ED287" s="99"/>
      <c r="EE287" s="99"/>
      <c r="EF287" s="99"/>
      <c r="EG287" s="99"/>
      <c r="EH287" s="99"/>
      <c r="EI287" s="99"/>
      <c r="EJ287" s="99"/>
      <c r="EK287" s="99"/>
      <c r="EL287" s="99"/>
      <c r="EM287" s="99"/>
      <c r="EN287" s="99"/>
      <c r="EO287" s="99"/>
      <c r="EP287" s="99"/>
      <c r="EQ287" s="99"/>
      <c r="ER287" s="99"/>
      <c r="ES287" s="99"/>
      <c r="ET287" s="99"/>
      <c r="EU287" s="99"/>
      <c r="EV287" s="99"/>
      <c r="EW287" s="99"/>
      <c r="EX287" s="99"/>
      <c r="EY287" s="99"/>
      <c r="EZ287" s="99"/>
      <c r="FA287" s="99"/>
      <c r="FB287" s="99"/>
      <c r="FC287" s="99"/>
      <c r="FD287" s="99"/>
      <c r="FE287" s="99"/>
      <c r="FF287" s="99"/>
      <c r="FG287" s="99"/>
      <c r="FH287" s="99"/>
      <c r="FI287" s="99"/>
      <c r="FJ287" s="99"/>
      <c r="FK287" s="99"/>
      <c r="FL287" s="99"/>
      <c r="FM287" s="99"/>
      <c r="FN287" s="99"/>
      <c r="FO287" s="99"/>
      <c r="FP287" s="99"/>
      <c r="FQ287" s="99"/>
      <c r="FR287" s="99"/>
      <c r="FS287" s="99"/>
      <c r="FT287" s="99"/>
      <c r="FU287" s="99"/>
    </row>
    <row r="288" spans="10:177" s="1" customFormat="1" ht="15.75">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c r="DK288" s="99"/>
      <c r="DL288" s="99"/>
      <c r="DM288" s="99"/>
      <c r="DN288" s="99"/>
      <c r="DO288" s="99"/>
      <c r="DP288" s="99"/>
      <c r="DQ288" s="99"/>
      <c r="DR288" s="99"/>
      <c r="DS288" s="99"/>
      <c r="DT288" s="99"/>
      <c r="DU288" s="99"/>
      <c r="DV288" s="99"/>
      <c r="DW288" s="99"/>
      <c r="DX288" s="99"/>
      <c r="DY288" s="99"/>
      <c r="DZ288" s="99"/>
      <c r="EA288" s="99"/>
      <c r="EB288" s="99"/>
      <c r="EC288" s="99"/>
      <c r="ED288" s="99"/>
      <c r="EE288" s="99"/>
      <c r="EF288" s="99"/>
      <c r="EG288" s="99"/>
      <c r="EH288" s="99"/>
      <c r="EI288" s="99"/>
      <c r="EJ288" s="99"/>
      <c r="EK288" s="99"/>
      <c r="EL288" s="99"/>
      <c r="EM288" s="99"/>
      <c r="EN288" s="99"/>
      <c r="EO288" s="99"/>
      <c r="EP288" s="99"/>
      <c r="EQ288" s="99"/>
      <c r="ER288" s="99"/>
      <c r="ES288" s="99"/>
      <c r="ET288" s="99"/>
      <c r="EU288" s="99"/>
      <c r="EV288" s="99"/>
      <c r="EW288" s="99"/>
      <c r="EX288" s="99"/>
      <c r="EY288" s="99"/>
      <c r="EZ288" s="99"/>
      <c r="FA288" s="99"/>
      <c r="FB288" s="99"/>
      <c r="FC288" s="99"/>
      <c r="FD288" s="99"/>
      <c r="FE288" s="99"/>
      <c r="FF288" s="99"/>
      <c r="FG288" s="99"/>
      <c r="FH288" s="99"/>
      <c r="FI288" s="99"/>
      <c r="FJ288" s="99"/>
      <c r="FK288" s="99"/>
      <c r="FL288" s="99"/>
      <c r="FM288" s="99"/>
      <c r="FN288" s="99"/>
      <c r="FO288" s="99"/>
      <c r="FP288" s="99"/>
      <c r="FQ288" s="99"/>
      <c r="FR288" s="99"/>
      <c r="FS288" s="99"/>
      <c r="FT288" s="99"/>
      <c r="FU288" s="99"/>
    </row>
    <row r="289" spans="10:177" s="1" customFormat="1" ht="15.75">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c r="CU289" s="99"/>
      <c r="CV289" s="99"/>
      <c r="CW289" s="99"/>
      <c r="CX289" s="99"/>
      <c r="CY289" s="99"/>
      <c r="CZ289" s="99"/>
      <c r="DA289" s="99"/>
      <c r="DB289" s="99"/>
      <c r="DC289" s="99"/>
      <c r="DD289" s="99"/>
      <c r="DE289" s="99"/>
      <c r="DF289" s="99"/>
      <c r="DG289" s="99"/>
      <c r="DH289" s="99"/>
      <c r="DI289" s="99"/>
      <c r="DJ289" s="99"/>
      <c r="DK289" s="99"/>
      <c r="DL289" s="99"/>
      <c r="DM289" s="99"/>
      <c r="DN289" s="99"/>
      <c r="DO289" s="99"/>
      <c r="DP289" s="99"/>
      <c r="DQ289" s="99"/>
      <c r="DR289" s="99"/>
      <c r="DS289" s="99"/>
      <c r="DT289" s="99"/>
      <c r="DU289" s="99"/>
      <c r="DV289" s="99"/>
      <c r="DW289" s="99"/>
      <c r="DX289" s="99"/>
      <c r="DY289" s="99"/>
      <c r="DZ289" s="99"/>
      <c r="EA289" s="99"/>
      <c r="EB289" s="99"/>
      <c r="EC289" s="99"/>
      <c r="ED289" s="99"/>
      <c r="EE289" s="99"/>
      <c r="EF289" s="99"/>
      <c r="EG289" s="99"/>
      <c r="EH289" s="99"/>
      <c r="EI289" s="99"/>
      <c r="EJ289" s="99"/>
      <c r="EK289" s="99"/>
      <c r="EL289" s="99"/>
      <c r="EM289" s="99"/>
      <c r="EN289" s="99"/>
      <c r="EO289" s="99"/>
      <c r="EP289" s="99"/>
      <c r="EQ289" s="99"/>
      <c r="ER289" s="99"/>
      <c r="ES289" s="99"/>
      <c r="ET289" s="99"/>
      <c r="EU289" s="99"/>
      <c r="EV289" s="99"/>
      <c r="EW289" s="99"/>
      <c r="EX289" s="99"/>
      <c r="EY289" s="99"/>
      <c r="EZ289" s="99"/>
      <c r="FA289" s="99"/>
      <c r="FB289" s="99"/>
      <c r="FC289" s="99"/>
      <c r="FD289" s="99"/>
      <c r="FE289" s="99"/>
      <c r="FF289" s="99"/>
      <c r="FG289" s="99"/>
      <c r="FH289" s="99"/>
      <c r="FI289" s="99"/>
      <c r="FJ289" s="99"/>
      <c r="FK289" s="99"/>
      <c r="FL289" s="99"/>
      <c r="FM289" s="99"/>
      <c r="FN289" s="99"/>
      <c r="FO289" s="99"/>
      <c r="FP289" s="99"/>
      <c r="FQ289" s="99"/>
      <c r="FR289" s="99"/>
      <c r="FS289" s="99"/>
      <c r="FT289" s="99"/>
      <c r="FU289" s="99"/>
    </row>
    <row r="290" spans="10:177" s="1" customFormat="1" ht="15.75">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c r="CU290" s="99"/>
      <c r="CV290" s="99"/>
      <c r="CW290" s="99"/>
      <c r="CX290" s="99"/>
      <c r="CY290" s="99"/>
      <c r="CZ290" s="99"/>
      <c r="DA290" s="99"/>
      <c r="DB290" s="99"/>
      <c r="DC290" s="99"/>
      <c r="DD290" s="99"/>
      <c r="DE290" s="99"/>
      <c r="DF290" s="99"/>
      <c r="DG290" s="99"/>
      <c r="DH290" s="99"/>
      <c r="DI290" s="99"/>
      <c r="DJ290" s="99"/>
      <c r="DK290" s="99"/>
      <c r="DL290" s="99"/>
      <c r="DM290" s="99"/>
      <c r="DN290" s="99"/>
      <c r="DO290" s="99"/>
      <c r="DP290" s="99"/>
      <c r="DQ290" s="99"/>
      <c r="DR290" s="99"/>
      <c r="DS290" s="99"/>
      <c r="DT290" s="99"/>
      <c r="DU290" s="99"/>
      <c r="DV290" s="99"/>
      <c r="DW290" s="99"/>
      <c r="DX290" s="99"/>
      <c r="DY290" s="99"/>
      <c r="DZ290" s="99"/>
      <c r="EA290" s="99"/>
      <c r="EB290" s="99"/>
      <c r="EC290" s="99"/>
      <c r="ED290" s="99"/>
      <c r="EE290" s="99"/>
      <c r="EF290" s="99"/>
      <c r="EG290" s="99"/>
      <c r="EH290" s="99"/>
      <c r="EI290" s="99"/>
      <c r="EJ290" s="99"/>
      <c r="EK290" s="99"/>
      <c r="EL290" s="99"/>
      <c r="EM290" s="99"/>
      <c r="EN290" s="99"/>
      <c r="EO290" s="99"/>
      <c r="EP290" s="99"/>
      <c r="EQ290" s="99"/>
      <c r="ER290" s="99"/>
      <c r="ES290" s="99"/>
      <c r="ET290" s="99"/>
      <c r="EU290" s="99"/>
      <c r="EV290" s="99"/>
      <c r="EW290" s="99"/>
      <c r="EX290" s="99"/>
      <c r="EY290" s="99"/>
      <c r="EZ290" s="99"/>
      <c r="FA290" s="99"/>
      <c r="FB290" s="99"/>
      <c r="FC290" s="99"/>
      <c r="FD290" s="99"/>
      <c r="FE290" s="99"/>
      <c r="FF290" s="99"/>
      <c r="FG290" s="99"/>
      <c r="FH290" s="99"/>
      <c r="FI290" s="99"/>
      <c r="FJ290" s="99"/>
      <c r="FK290" s="99"/>
      <c r="FL290" s="99"/>
      <c r="FM290" s="99"/>
      <c r="FN290" s="99"/>
      <c r="FO290" s="99"/>
      <c r="FP290" s="99"/>
      <c r="FQ290" s="99"/>
      <c r="FR290" s="99"/>
      <c r="FS290" s="99"/>
      <c r="FT290" s="99"/>
      <c r="FU290" s="99"/>
    </row>
    <row r="291" spans="10:177" s="1" customFormat="1" ht="15.75">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c r="DK291" s="99"/>
      <c r="DL291" s="99"/>
      <c r="DM291" s="99"/>
      <c r="DN291" s="99"/>
      <c r="DO291" s="99"/>
      <c r="DP291" s="99"/>
      <c r="DQ291" s="99"/>
      <c r="DR291" s="99"/>
      <c r="DS291" s="99"/>
      <c r="DT291" s="99"/>
      <c r="DU291" s="99"/>
      <c r="DV291" s="99"/>
      <c r="DW291" s="99"/>
      <c r="DX291" s="99"/>
      <c r="DY291" s="99"/>
      <c r="DZ291" s="99"/>
      <c r="EA291" s="99"/>
      <c r="EB291" s="99"/>
      <c r="EC291" s="99"/>
      <c r="ED291" s="99"/>
      <c r="EE291" s="99"/>
      <c r="EF291" s="99"/>
      <c r="EG291" s="99"/>
      <c r="EH291" s="99"/>
      <c r="EI291" s="99"/>
      <c r="EJ291" s="99"/>
      <c r="EK291" s="99"/>
      <c r="EL291" s="99"/>
      <c r="EM291" s="99"/>
      <c r="EN291" s="99"/>
      <c r="EO291" s="99"/>
      <c r="EP291" s="99"/>
      <c r="EQ291" s="99"/>
      <c r="ER291" s="99"/>
      <c r="ES291" s="99"/>
      <c r="ET291" s="99"/>
      <c r="EU291" s="99"/>
      <c r="EV291" s="99"/>
      <c r="EW291" s="99"/>
      <c r="EX291" s="99"/>
      <c r="EY291" s="99"/>
      <c r="EZ291" s="99"/>
      <c r="FA291" s="99"/>
      <c r="FB291" s="99"/>
      <c r="FC291" s="99"/>
      <c r="FD291" s="99"/>
      <c r="FE291" s="99"/>
      <c r="FF291" s="99"/>
      <c r="FG291" s="99"/>
      <c r="FH291" s="99"/>
      <c r="FI291" s="99"/>
      <c r="FJ291" s="99"/>
      <c r="FK291" s="99"/>
      <c r="FL291" s="99"/>
      <c r="FM291" s="99"/>
      <c r="FN291" s="99"/>
      <c r="FO291" s="99"/>
      <c r="FP291" s="99"/>
      <c r="FQ291" s="99"/>
      <c r="FR291" s="99"/>
      <c r="FS291" s="99"/>
      <c r="FT291" s="99"/>
      <c r="FU291" s="99"/>
    </row>
    <row r="292" spans="10:177" s="1" customFormat="1" ht="15.75">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c r="DK292" s="99"/>
      <c r="DL292" s="99"/>
      <c r="DM292" s="99"/>
      <c r="DN292" s="99"/>
      <c r="DO292" s="99"/>
      <c r="DP292" s="99"/>
      <c r="DQ292" s="99"/>
      <c r="DR292" s="99"/>
      <c r="DS292" s="99"/>
      <c r="DT292" s="99"/>
      <c r="DU292" s="99"/>
      <c r="DV292" s="99"/>
      <c r="DW292" s="99"/>
      <c r="DX292" s="99"/>
      <c r="DY292" s="99"/>
      <c r="DZ292" s="99"/>
      <c r="EA292" s="99"/>
      <c r="EB292" s="99"/>
      <c r="EC292" s="99"/>
      <c r="ED292" s="99"/>
      <c r="EE292" s="99"/>
      <c r="EF292" s="99"/>
      <c r="EG292" s="99"/>
      <c r="EH292" s="99"/>
      <c r="EI292" s="99"/>
      <c r="EJ292" s="99"/>
      <c r="EK292" s="99"/>
      <c r="EL292" s="99"/>
      <c r="EM292" s="99"/>
      <c r="EN292" s="99"/>
      <c r="EO292" s="99"/>
      <c r="EP292" s="99"/>
      <c r="EQ292" s="99"/>
      <c r="ER292" s="99"/>
      <c r="ES292" s="99"/>
      <c r="ET292" s="99"/>
      <c r="EU292" s="99"/>
      <c r="EV292" s="99"/>
      <c r="EW292" s="99"/>
      <c r="EX292" s="99"/>
      <c r="EY292" s="99"/>
      <c r="EZ292" s="99"/>
      <c r="FA292" s="99"/>
      <c r="FB292" s="99"/>
      <c r="FC292" s="99"/>
      <c r="FD292" s="99"/>
      <c r="FE292" s="99"/>
      <c r="FF292" s="99"/>
      <c r="FG292" s="99"/>
      <c r="FH292" s="99"/>
      <c r="FI292" s="99"/>
      <c r="FJ292" s="99"/>
      <c r="FK292" s="99"/>
      <c r="FL292" s="99"/>
      <c r="FM292" s="99"/>
      <c r="FN292" s="99"/>
      <c r="FO292" s="99"/>
      <c r="FP292" s="99"/>
      <c r="FQ292" s="99"/>
      <c r="FR292" s="99"/>
      <c r="FS292" s="99"/>
      <c r="FT292" s="99"/>
      <c r="FU292" s="99"/>
    </row>
    <row r="293" spans="10:177" s="1" customFormat="1" ht="15.75">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c r="CU293" s="99"/>
      <c r="CV293" s="99"/>
      <c r="CW293" s="99"/>
      <c r="CX293" s="99"/>
      <c r="CY293" s="99"/>
      <c r="CZ293" s="99"/>
      <c r="DA293" s="99"/>
      <c r="DB293" s="99"/>
      <c r="DC293" s="99"/>
      <c r="DD293" s="99"/>
      <c r="DE293" s="99"/>
      <c r="DF293" s="99"/>
      <c r="DG293" s="99"/>
      <c r="DH293" s="99"/>
      <c r="DI293" s="99"/>
      <c r="DJ293" s="99"/>
      <c r="DK293" s="99"/>
      <c r="DL293" s="99"/>
      <c r="DM293" s="99"/>
      <c r="DN293" s="99"/>
      <c r="DO293" s="99"/>
      <c r="DP293" s="99"/>
      <c r="DQ293" s="99"/>
      <c r="DR293" s="99"/>
      <c r="DS293" s="99"/>
      <c r="DT293" s="99"/>
      <c r="DU293" s="99"/>
      <c r="DV293" s="99"/>
      <c r="DW293" s="99"/>
      <c r="DX293" s="99"/>
      <c r="DY293" s="99"/>
      <c r="DZ293" s="99"/>
      <c r="EA293" s="99"/>
      <c r="EB293" s="99"/>
      <c r="EC293" s="99"/>
      <c r="ED293" s="99"/>
      <c r="EE293" s="99"/>
      <c r="EF293" s="99"/>
      <c r="EG293" s="99"/>
      <c r="EH293" s="99"/>
      <c r="EI293" s="99"/>
      <c r="EJ293" s="99"/>
      <c r="EK293" s="99"/>
      <c r="EL293" s="99"/>
      <c r="EM293" s="99"/>
      <c r="EN293" s="99"/>
      <c r="EO293" s="99"/>
      <c r="EP293" s="99"/>
      <c r="EQ293" s="99"/>
      <c r="ER293" s="99"/>
      <c r="ES293" s="99"/>
      <c r="ET293" s="99"/>
      <c r="EU293" s="99"/>
      <c r="EV293" s="99"/>
      <c r="EW293" s="99"/>
      <c r="EX293" s="99"/>
      <c r="EY293" s="99"/>
      <c r="EZ293" s="99"/>
      <c r="FA293" s="99"/>
      <c r="FB293" s="99"/>
      <c r="FC293" s="99"/>
      <c r="FD293" s="99"/>
      <c r="FE293" s="99"/>
      <c r="FF293" s="99"/>
      <c r="FG293" s="99"/>
      <c r="FH293" s="99"/>
      <c r="FI293" s="99"/>
      <c r="FJ293" s="99"/>
      <c r="FK293" s="99"/>
      <c r="FL293" s="99"/>
      <c r="FM293" s="99"/>
      <c r="FN293" s="99"/>
      <c r="FO293" s="99"/>
      <c r="FP293" s="99"/>
      <c r="FQ293" s="99"/>
      <c r="FR293" s="99"/>
      <c r="FS293" s="99"/>
      <c r="FT293" s="99"/>
      <c r="FU293" s="99"/>
    </row>
    <row r="294" spans="10:177" s="1" customFormat="1" ht="15.75">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c r="DT294" s="99"/>
      <c r="DU294" s="99"/>
      <c r="DV294" s="99"/>
      <c r="DW294" s="99"/>
      <c r="DX294" s="99"/>
      <c r="DY294" s="99"/>
      <c r="DZ294" s="99"/>
      <c r="EA294" s="99"/>
      <c r="EB294" s="99"/>
      <c r="EC294" s="99"/>
      <c r="ED294" s="99"/>
      <c r="EE294" s="99"/>
      <c r="EF294" s="99"/>
      <c r="EG294" s="99"/>
      <c r="EH294" s="99"/>
      <c r="EI294" s="99"/>
      <c r="EJ294" s="99"/>
      <c r="EK294" s="99"/>
      <c r="EL294" s="99"/>
      <c r="EM294" s="99"/>
      <c r="EN294" s="99"/>
      <c r="EO294" s="99"/>
      <c r="EP294" s="99"/>
      <c r="EQ294" s="99"/>
      <c r="ER294" s="99"/>
      <c r="ES294" s="99"/>
      <c r="ET294" s="99"/>
      <c r="EU294" s="99"/>
      <c r="EV294" s="99"/>
      <c r="EW294" s="99"/>
      <c r="EX294" s="99"/>
      <c r="EY294" s="99"/>
      <c r="EZ294" s="99"/>
      <c r="FA294" s="99"/>
      <c r="FB294" s="99"/>
      <c r="FC294" s="99"/>
      <c r="FD294" s="99"/>
      <c r="FE294" s="99"/>
      <c r="FF294" s="99"/>
      <c r="FG294" s="99"/>
      <c r="FH294" s="99"/>
      <c r="FI294" s="99"/>
      <c r="FJ294" s="99"/>
      <c r="FK294" s="99"/>
      <c r="FL294" s="99"/>
      <c r="FM294" s="99"/>
      <c r="FN294" s="99"/>
      <c r="FO294" s="99"/>
      <c r="FP294" s="99"/>
      <c r="FQ294" s="99"/>
      <c r="FR294" s="99"/>
      <c r="FS294" s="99"/>
      <c r="FT294" s="99"/>
      <c r="FU294" s="99"/>
    </row>
    <row r="295" spans="10:177" s="1" customFormat="1" ht="15.75">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c r="DK295" s="99"/>
      <c r="DL295" s="99"/>
      <c r="DM295" s="99"/>
      <c r="DN295" s="99"/>
      <c r="DO295" s="99"/>
      <c r="DP295" s="99"/>
      <c r="DQ295" s="99"/>
      <c r="DR295" s="99"/>
      <c r="DS295" s="99"/>
      <c r="DT295" s="99"/>
      <c r="DU295" s="99"/>
      <c r="DV295" s="99"/>
      <c r="DW295" s="99"/>
      <c r="DX295" s="99"/>
      <c r="DY295" s="99"/>
      <c r="DZ295" s="99"/>
      <c r="EA295" s="99"/>
      <c r="EB295" s="99"/>
      <c r="EC295" s="99"/>
      <c r="ED295" s="99"/>
      <c r="EE295" s="99"/>
      <c r="EF295" s="99"/>
      <c r="EG295" s="99"/>
      <c r="EH295" s="99"/>
      <c r="EI295" s="99"/>
      <c r="EJ295" s="99"/>
      <c r="EK295" s="99"/>
      <c r="EL295" s="99"/>
      <c r="EM295" s="99"/>
      <c r="EN295" s="99"/>
      <c r="EO295" s="99"/>
      <c r="EP295" s="99"/>
      <c r="EQ295" s="99"/>
      <c r="ER295" s="99"/>
      <c r="ES295" s="99"/>
      <c r="ET295" s="99"/>
      <c r="EU295" s="99"/>
      <c r="EV295" s="99"/>
      <c r="EW295" s="99"/>
      <c r="EX295" s="99"/>
      <c r="EY295" s="99"/>
      <c r="EZ295" s="99"/>
      <c r="FA295" s="99"/>
      <c r="FB295" s="99"/>
      <c r="FC295" s="99"/>
      <c r="FD295" s="99"/>
      <c r="FE295" s="99"/>
      <c r="FF295" s="99"/>
      <c r="FG295" s="99"/>
      <c r="FH295" s="99"/>
      <c r="FI295" s="99"/>
      <c r="FJ295" s="99"/>
      <c r="FK295" s="99"/>
      <c r="FL295" s="99"/>
      <c r="FM295" s="99"/>
      <c r="FN295" s="99"/>
      <c r="FO295" s="99"/>
      <c r="FP295" s="99"/>
      <c r="FQ295" s="99"/>
      <c r="FR295" s="99"/>
      <c r="FS295" s="99"/>
      <c r="FT295" s="99"/>
      <c r="FU295" s="99"/>
    </row>
    <row r="296" spans="10:177" s="1" customFormat="1" ht="15.75">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c r="DH296" s="99"/>
      <c r="DI296" s="99"/>
      <c r="DJ296" s="99"/>
      <c r="DK296" s="99"/>
      <c r="DL296" s="99"/>
      <c r="DM296" s="99"/>
      <c r="DN296" s="99"/>
      <c r="DO296" s="99"/>
      <c r="DP296" s="99"/>
      <c r="DQ296" s="99"/>
      <c r="DR296" s="99"/>
      <c r="DS296" s="99"/>
      <c r="DT296" s="99"/>
      <c r="DU296" s="99"/>
      <c r="DV296" s="99"/>
      <c r="DW296" s="99"/>
      <c r="DX296" s="99"/>
      <c r="DY296" s="99"/>
      <c r="DZ296" s="99"/>
      <c r="EA296" s="99"/>
      <c r="EB296" s="99"/>
      <c r="EC296" s="99"/>
      <c r="ED296" s="99"/>
      <c r="EE296" s="99"/>
      <c r="EF296" s="99"/>
      <c r="EG296" s="99"/>
      <c r="EH296" s="99"/>
      <c r="EI296" s="99"/>
      <c r="EJ296" s="99"/>
      <c r="EK296" s="99"/>
      <c r="EL296" s="99"/>
      <c r="EM296" s="99"/>
      <c r="EN296" s="99"/>
      <c r="EO296" s="99"/>
      <c r="EP296" s="99"/>
      <c r="EQ296" s="99"/>
      <c r="ER296" s="99"/>
      <c r="ES296" s="99"/>
      <c r="ET296" s="99"/>
      <c r="EU296" s="99"/>
      <c r="EV296" s="99"/>
      <c r="EW296" s="99"/>
      <c r="EX296" s="99"/>
      <c r="EY296" s="99"/>
      <c r="EZ296" s="99"/>
      <c r="FA296" s="99"/>
      <c r="FB296" s="99"/>
      <c r="FC296" s="99"/>
      <c r="FD296" s="99"/>
      <c r="FE296" s="99"/>
      <c r="FF296" s="99"/>
      <c r="FG296" s="99"/>
      <c r="FH296" s="99"/>
      <c r="FI296" s="99"/>
      <c r="FJ296" s="99"/>
      <c r="FK296" s="99"/>
      <c r="FL296" s="99"/>
      <c r="FM296" s="99"/>
      <c r="FN296" s="99"/>
      <c r="FO296" s="99"/>
      <c r="FP296" s="99"/>
      <c r="FQ296" s="99"/>
      <c r="FR296" s="99"/>
      <c r="FS296" s="99"/>
      <c r="FT296" s="99"/>
      <c r="FU296" s="99"/>
    </row>
    <row r="297" spans="10:177" s="1" customFormat="1" ht="15.75">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c r="CU297" s="99"/>
      <c r="CV297" s="99"/>
      <c r="CW297" s="99"/>
      <c r="CX297" s="99"/>
      <c r="CY297" s="99"/>
      <c r="CZ297" s="99"/>
      <c r="DA297" s="99"/>
      <c r="DB297" s="99"/>
      <c r="DC297" s="99"/>
      <c r="DD297" s="99"/>
      <c r="DE297" s="99"/>
      <c r="DF297" s="99"/>
      <c r="DG297" s="99"/>
      <c r="DH297" s="99"/>
      <c r="DI297" s="99"/>
      <c r="DJ297" s="99"/>
      <c r="DK297" s="99"/>
      <c r="DL297" s="99"/>
      <c r="DM297" s="99"/>
      <c r="DN297" s="99"/>
      <c r="DO297" s="99"/>
      <c r="DP297" s="99"/>
      <c r="DQ297" s="99"/>
      <c r="DR297" s="99"/>
      <c r="DS297" s="99"/>
      <c r="DT297" s="99"/>
      <c r="DU297" s="99"/>
      <c r="DV297" s="99"/>
      <c r="DW297" s="99"/>
      <c r="DX297" s="99"/>
      <c r="DY297" s="99"/>
      <c r="DZ297" s="99"/>
      <c r="EA297" s="99"/>
      <c r="EB297" s="99"/>
      <c r="EC297" s="99"/>
      <c r="ED297" s="99"/>
      <c r="EE297" s="99"/>
      <c r="EF297" s="99"/>
      <c r="EG297" s="99"/>
      <c r="EH297" s="99"/>
      <c r="EI297" s="99"/>
      <c r="EJ297" s="99"/>
      <c r="EK297" s="99"/>
      <c r="EL297" s="99"/>
      <c r="EM297" s="99"/>
      <c r="EN297" s="99"/>
      <c r="EO297" s="99"/>
      <c r="EP297" s="99"/>
      <c r="EQ297" s="99"/>
      <c r="ER297" s="99"/>
      <c r="ES297" s="99"/>
      <c r="ET297" s="99"/>
      <c r="EU297" s="99"/>
      <c r="EV297" s="99"/>
      <c r="EW297" s="99"/>
      <c r="EX297" s="99"/>
      <c r="EY297" s="99"/>
      <c r="EZ297" s="99"/>
      <c r="FA297" s="99"/>
      <c r="FB297" s="99"/>
      <c r="FC297" s="99"/>
      <c r="FD297" s="99"/>
      <c r="FE297" s="99"/>
      <c r="FF297" s="99"/>
      <c r="FG297" s="99"/>
      <c r="FH297" s="99"/>
      <c r="FI297" s="99"/>
      <c r="FJ297" s="99"/>
      <c r="FK297" s="99"/>
      <c r="FL297" s="99"/>
      <c r="FM297" s="99"/>
      <c r="FN297" s="99"/>
      <c r="FO297" s="99"/>
      <c r="FP297" s="99"/>
      <c r="FQ297" s="99"/>
      <c r="FR297" s="99"/>
      <c r="FS297" s="99"/>
      <c r="FT297" s="99"/>
      <c r="FU297" s="99"/>
    </row>
    <row r="298" spans="10:177" s="1" customFormat="1" ht="15.75">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c r="CU298" s="99"/>
      <c r="CV298" s="99"/>
      <c r="CW298" s="99"/>
      <c r="CX298" s="99"/>
      <c r="CY298" s="99"/>
      <c r="CZ298" s="99"/>
      <c r="DA298" s="99"/>
      <c r="DB298" s="99"/>
      <c r="DC298" s="99"/>
      <c r="DD298" s="99"/>
      <c r="DE298" s="99"/>
      <c r="DF298" s="99"/>
      <c r="DG298" s="99"/>
      <c r="DH298" s="99"/>
      <c r="DI298" s="99"/>
      <c r="DJ298" s="99"/>
      <c r="DK298" s="99"/>
      <c r="DL298" s="99"/>
      <c r="DM298" s="99"/>
      <c r="DN298" s="99"/>
      <c r="DO298" s="99"/>
      <c r="DP298" s="99"/>
      <c r="DQ298" s="99"/>
      <c r="DR298" s="99"/>
      <c r="DS298" s="99"/>
      <c r="DT298" s="99"/>
      <c r="DU298" s="99"/>
      <c r="DV298" s="99"/>
      <c r="DW298" s="99"/>
      <c r="DX298" s="99"/>
      <c r="DY298" s="99"/>
      <c r="DZ298" s="99"/>
      <c r="EA298" s="99"/>
      <c r="EB298" s="99"/>
      <c r="EC298" s="99"/>
      <c r="ED298" s="99"/>
      <c r="EE298" s="99"/>
      <c r="EF298" s="99"/>
      <c r="EG298" s="99"/>
      <c r="EH298" s="99"/>
      <c r="EI298" s="99"/>
      <c r="EJ298" s="99"/>
      <c r="EK298" s="99"/>
      <c r="EL298" s="99"/>
      <c r="EM298" s="99"/>
      <c r="EN298" s="99"/>
      <c r="EO298" s="99"/>
      <c r="EP298" s="99"/>
      <c r="EQ298" s="99"/>
      <c r="ER298" s="99"/>
      <c r="ES298" s="99"/>
      <c r="ET298" s="99"/>
      <c r="EU298" s="99"/>
      <c r="EV298" s="99"/>
      <c r="EW298" s="99"/>
      <c r="EX298" s="99"/>
      <c r="EY298" s="99"/>
      <c r="EZ298" s="99"/>
      <c r="FA298" s="99"/>
      <c r="FB298" s="99"/>
      <c r="FC298" s="99"/>
      <c r="FD298" s="99"/>
      <c r="FE298" s="99"/>
      <c r="FF298" s="99"/>
      <c r="FG298" s="99"/>
      <c r="FH298" s="99"/>
      <c r="FI298" s="99"/>
      <c r="FJ298" s="99"/>
      <c r="FK298" s="99"/>
      <c r="FL298" s="99"/>
      <c r="FM298" s="99"/>
      <c r="FN298" s="99"/>
      <c r="FO298" s="99"/>
      <c r="FP298" s="99"/>
      <c r="FQ298" s="99"/>
      <c r="FR298" s="99"/>
      <c r="FS298" s="99"/>
      <c r="FT298" s="99"/>
      <c r="FU298" s="99"/>
    </row>
    <row r="299" spans="10:177" s="1" customFormat="1" ht="15.75">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99"/>
      <c r="CY299" s="99"/>
      <c r="CZ299" s="99"/>
      <c r="DA299" s="99"/>
      <c r="DB299" s="99"/>
      <c r="DC299" s="99"/>
      <c r="DD299" s="99"/>
      <c r="DE299" s="99"/>
      <c r="DF299" s="99"/>
      <c r="DG299" s="99"/>
      <c r="DH299" s="99"/>
      <c r="DI299" s="99"/>
      <c r="DJ299" s="99"/>
      <c r="DK299" s="99"/>
      <c r="DL299" s="99"/>
      <c r="DM299" s="99"/>
      <c r="DN299" s="99"/>
      <c r="DO299" s="99"/>
      <c r="DP299" s="99"/>
      <c r="DQ299" s="99"/>
      <c r="DR299" s="99"/>
      <c r="DS299" s="99"/>
      <c r="DT299" s="99"/>
      <c r="DU299" s="99"/>
      <c r="DV299" s="99"/>
      <c r="DW299" s="99"/>
      <c r="DX299" s="99"/>
      <c r="DY299" s="99"/>
      <c r="DZ299" s="99"/>
      <c r="EA299" s="99"/>
      <c r="EB299" s="99"/>
      <c r="EC299" s="99"/>
      <c r="ED299" s="99"/>
      <c r="EE299" s="99"/>
      <c r="EF299" s="99"/>
      <c r="EG299" s="99"/>
      <c r="EH299" s="99"/>
      <c r="EI299" s="99"/>
      <c r="EJ299" s="99"/>
      <c r="EK299" s="99"/>
      <c r="EL299" s="99"/>
      <c r="EM299" s="99"/>
      <c r="EN299" s="99"/>
      <c r="EO299" s="99"/>
      <c r="EP299" s="99"/>
      <c r="EQ299" s="99"/>
      <c r="ER299" s="99"/>
      <c r="ES299" s="99"/>
      <c r="ET299" s="99"/>
      <c r="EU299" s="99"/>
      <c r="EV299" s="99"/>
      <c r="EW299" s="99"/>
      <c r="EX299" s="99"/>
      <c r="EY299" s="99"/>
      <c r="EZ299" s="99"/>
      <c r="FA299" s="99"/>
      <c r="FB299" s="99"/>
      <c r="FC299" s="99"/>
      <c r="FD299" s="99"/>
      <c r="FE299" s="99"/>
      <c r="FF299" s="99"/>
      <c r="FG299" s="99"/>
      <c r="FH299" s="99"/>
      <c r="FI299" s="99"/>
      <c r="FJ299" s="99"/>
      <c r="FK299" s="99"/>
      <c r="FL299" s="99"/>
      <c r="FM299" s="99"/>
      <c r="FN299" s="99"/>
      <c r="FO299" s="99"/>
      <c r="FP299" s="99"/>
      <c r="FQ299" s="99"/>
      <c r="FR299" s="99"/>
      <c r="FS299" s="99"/>
      <c r="FT299" s="99"/>
      <c r="FU299" s="99"/>
    </row>
    <row r="300" spans="10:177" s="1" customFormat="1" ht="15.75">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c r="CU300" s="99"/>
      <c r="CV300" s="99"/>
      <c r="CW300" s="99"/>
      <c r="CX300" s="99"/>
      <c r="CY300" s="99"/>
      <c r="CZ300" s="99"/>
      <c r="DA300" s="99"/>
      <c r="DB300" s="99"/>
      <c r="DC300" s="99"/>
      <c r="DD300" s="99"/>
      <c r="DE300" s="99"/>
      <c r="DF300" s="99"/>
      <c r="DG300" s="99"/>
      <c r="DH300" s="99"/>
      <c r="DI300" s="99"/>
      <c r="DJ300" s="99"/>
      <c r="DK300" s="99"/>
      <c r="DL300" s="99"/>
      <c r="DM300" s="99"/>
      <c r="DN300" s="99"/>
      <c r="DO300" s="99"/>
      <c r="DP300" s="99"/>
      <c r="DQ300" s="99"/>
      <c r="DR300" s="99"/>
      <c r="DS300" s="99"/>
      <c r="DT300" s="99"/>
      <c r="DU300" s="99"/>
      <c r="DV300" s="99"/>
      <c r="DW300" s="99"/>
      <c r="DX300" s="99"/>
      <c r="DY300" s="99"/>
      <c r="DZ300" s="99"/>
      <c r="EA300" s="99"/>
      <c r="EB300" s="99"/>
      <c r="EC300" s="99"/>
      <c r="ED300" s="99"/>
      <c r="EE300" s="99"/>
      <c r="EF300" s="99"/>
      <c r="EG300" s="99"/>
      <c r="EH300" s="99"/>
      <c r="EI300" s="99"/>
      <c r="EJ300" s="99"/>
      <c r="EK300" s="99"/>
      <c r="EL300" s="99"/>
      <c r="EM300" s="99"/>
      <c r="EN300" s="99"/>
      <c r="EO300" s="99"/>
      <c r="EP300" s="99"/>
      <c r="EQ300" s="99"/>
      <c r="ER300" s="99"/>
      <c r="ES300" s="99"/>
      <c r="ET300" s="99"/>
      <c r="EU300" s="99"/>
      <c r="EV300" s="99"/>
      <c r="EW300" s="99"/>
      <c r="EX300" s="99"/>
      <c r="EY300" s="99"/>
      <c r="EZ300" s="99"/>
      <c r="FA300" s="99"/>
      <c r="FB300" s="99"/>
      <c r="FC300" s="99"/>
      <c r="FD300" s="99"/>
      <c r="FE300" s="99"/>
      <c r="FF300" s="99"/>
      <c r="FG300" s="99"/>
      <c r="FH300" s="99"/>
      <c r="FI300" s="99"/>
      <c r="FJ300" s="99"/>
      <c r="FK300" s="99"/>
      <c r="FL300" s="99"/>
      <c r="FM300" s="99"/>
      <c r="FN300" s="99"/>
      <c r="FO300" s="99"/>
      <c r="FP300" s="99"/>
      <c r="FQ300" s="99"/>
      <c r="FR300" s="99"/>
      <c r="FS300" s="99"/>
      <c r="FT300" s="99"/>
      <c r="FU300" s="99"/>
    </row>
    <row r="301" spans="10:177" s="1" customFormat="1" ht="15.75">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c r="DK301" s="99"/>
      <c r="DL301" s="99"/>
      <c r="DM301" s="99"/>
      <c r="DN301" s="99"/>
      <c r="DO301" s="99"/>
      <c r="DP301" s="99"/>
      <c r="DQ301" s="99"/>
      <c r="DR301" s="99"/>
      <c r="DS301" s="99"/>
      <c r="DT301" s="99"/>
      <c r="DU301" s="99"/>
      <c r="DV301" s="99"/>
      <c r="DW301" s="99"/>
      <c r="DX301" s="99"/>
      <c r="DY301" s="99"/>
      <c r="DZ301" s="99"/>
      <c r="EA301" s="99"/>
      <c r="EB301" s="99"/>
      <c r="EC301" s="99"/>
      <c r="ED301" s="99"/>
      <c r="EE301" s="99"/>
      <c r="EF301" s="99"/>
      <c r="EG301" s="99"/>
      <c r="EH301" s="99"/>
      <c r="EI301" s="99"/>
      <c r="EJ301" s="99"/>
      <c r="EK301" s="99"/>
      <c r="EL301" s="99"/>
      <c r="EM301" s="99"/>
      <c r="EN301" s="99"/>
      <c r="EO301" s="99"/>
      <c r="EP301" s="99"/>
      <c r="EQ301" s="99"/>
      <c r="ER301" s="99"/>
      <c r="ES301" s="99"/>
      <c r="ET301" s="99"/>
      <c r="EU301" s="99"/>
      <c r="EV301" s="99"/>
      <c r="EW301" s="99"/>
      <c r="EX301" s="99"/>
      <c r="EY301" s="99"/>
      <c r="EZ301" s="99"/>
      <c r="FA301" s="99"/>
      <c r="FB301" s="99"/>
      <c r="FC301" s="99"/>
      <c r="FD301" s="99"/>
      <c r="FE301" s="99"/>
      <c r="FF301" s="99"/>
      <c r="FG301" s="99"/>
      <c r="FH301" s="99"/>
      <c r="FI301" s="99"/>
      <c r="FJ301" s="99"/>
      <c r="FK301" s="99"/>
      <c r="FL301" s="99"/>
      <c r="FM301" s="99"/>
      <c r="FN301" s="99"/>
      <c r="FO301" s="99"/>
      <c r="FP301" s="99"/>
      <c r="FQ301" s="99"/>
      <c r="FR301" s="99"/>
      <c r="FS301" s="99"/>
      <c r="FT301" s="99"/>
      <c r="FU301" s="99"/>
    </row>
    <row r="302" spans="10:177" s="1" customFormat="1" ht="15.75">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9"/>
      <c r="DL302" s="99"/>
      <c r="DM302" s="99"/>
      <c r="DN302" s="99"/>
      <c r="DO302" s="99"/>
      <c r="DP302" s="99"/>
      <c r="DQ302" s="99"/>
      <c r="DR302" s="99"/>
      <c r="DS302" s="99"/>
      <c r="DT302" s="99"/>
      <c r="DU302" s="99"/>
      <c r="DV302" s="99"/>
      <c r="DW302" s="99"/>
      <c r="DX302" s="99"/>
      <c r="DY302" s="99"/>
      <c r="DZ302" s="99"/>
      <c r="EA302" s="99"/>
      <c r="EB302" s="99"/>
      <c r="EC302" s="99"/>
      <c r="ED302" s="99"/>
      <c r="EE302" s="99"/>
      <c r="EF302" s="99"/>
      <c r="EG302" s="99"/>
      <c r="EH302" s="99"/>
      <c r="EI302" s="99"/>
      <c r="EJ302" s="99"/>
      <c r="EK302" s="99"/>
      <c r="EL302" s="99"/>
      <c r="EM302" s="99"/>
      <c r="EN302" s="99"/>
      <c r="EO302" s="99"/>
      <c r="EP302" s="99"/>
      <c r="EQ302" s="99"/>
      <c r="ER302" s="99"/>
      <c r="ES302" s="99"/>
      <c r="ET302" s="99"/>
      <c r="EU302" s="99"/>
      <c r="EV302" s="99"/>
      <c r="EW302" s="99"/>
      <c r="EX302" s="99"/>
      <c r="EY302" s="99"/>
      <c r="EZ302" s="99"/>
      <c r="FA302" s="99"/>
      <c r="FB302" s="99"/>
      <c r="FC302" s="99"/>
      <c r="FD302" s="99"/>
      <c r="FE302" s="99"/>
      <c r="FF302" s="99"/>
      <c r="FG302" s="99"/>
      <c r="FH302" s="99"/>
      <c r="FI302" s="99"/>
      <c r="FJ302" s="99"/>
      <c r="FK302" s="99"/>
      <c r="FL302" s="99"/>
      <c r="FM302" s="99"/>
      <c r="FN302" s="99"/>
      <c r="FO302" s="99"/>
      <c r="FP302" s="99"/>
      <c r="FQ302" s="99"/>
      <c r="FR302" s="99"/>
      <c r="FS302" s="99"/>
      <c r="FT302" s="99"/>
      <c r="FU302" s="99"/>
    </row>
    <row r="303" spans="10:177" s="1" customFormat="1" ht="15.75">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9"/>
      <c r="DL303" s="99"/>
      <c r="DM303" s="99"/>
      <c r="DN303" s="99"/>
      <c r="DO303" s="99"/>
      <c r="DP303" s="99"/>
      <c r="DQ303" s="99"/>
      <c r="DR303" s="99"/>
      <c r="DS303" s="99"/>
      <c r="DT303" s="99"/>
      <c r="DU303" s="99"/>
      <c r="DV303" s="99"/>
      <c r="DW303" s="99"/>
      <c r="DX303" s="99"/>
      <c r="DY303" s="99"/>
      <c r="DZ303" s="99"/>
      <c r="EA303" s="99"/>
      <c r="EB303" s="99"/>
      <c r="EC303" s="99"/>
      <c r="ED303" s="99"/>
      <c r="EE303" s="99"/>
      <c r="EF303" s="99"/>
      <c r="EG303" s="99"/>
      <c r="EH303" s="99"/>
      <c r="EI303" s="99"/>
      <c r="EJ303" s="99"/>
      <c r="EK303" s="99"/>
      <c r="EL303" s="99"/>
      <c r="EM303" s="99"/>
      <c r="EN303" s="99"/>
      <c r="EO303" s="99"/>
      <c r="EP303" s="99"/>
      <c r="EQ303" s="99"/>
      <c r="ER303" s="99"/>
      <c r="ES303" s="99"/>
      <c r="ET303" s="99"/>
      <c r="EU303" s="99"/>
      <c r="EV303" s="99"/>
      <c r="EW303" s="99"/>
      <c r="EX303" s="99"/>
      <c r="EY303" s="99"/>
      <c r="EZ303" s="99"/>
      <c r="FA303" s="99"/>
      <c r="FB303" s="99"/>
      <c r="FC303" s="99"/>
      <c r="FD303" s="99"/>
      <c r="FE303" s="99"/>
      <c r="FF303" s="99"/>
      <c r="FG303" s="99"/>
      <c r="FH303" s="99"/>
      <c r="FI303" s="99"/>
      <c r="FJ303" s="99"/>
      <c r="FK303" s="99"/>
      <c r="FL303" s="99"/>
      <c r="FM303" s="99"/>
      <c r="FN303" s="99"/>
      <c r="FO303" s="99"/>
      <c r="FP303" s="99"/>
      <c r="FQ303" s="99"/>
      <c r="FR303" s="99"/>
      <c r="FS303" s="99"/>
      <c r="FT303" s="99"/>
      <c r="FU303" s="99"/>
    </row>
    <row r="304" spans="10:177" s="1" customFormat="1" ht="15.75">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c r="DK304" s="99"/>
      <c r="DL304" s="99"/>
      <c r="DM304" s="99"/>
      <c r="DN304" s="99"/>
      <c r="DO304" s="99"/>
      <c r="DP304" s="99"/>
      <c r="DQ304" s="99"/>
      <c r="DR304" s="99"/>
      <c r="DS304" s="99"/>
      <c r="DT304" s="99"/>
      <c r="DU304" s="99"/>
      <c r="DV304" s="99"/>
      <c r="DW304" s="99"/>
      <c r="DX304" s="99"/>
      <c r="DY304" s="99"/>
      <c r="DZ304" s="99"/>
      <c r="EA304" s="99"/>
      <c r="EB304" s="99"/>
      <c r="EC304" s="99"/>
      <c r="ED304" s="99"/>
      <c r="EE304" s="99"/>
      <c r="EF304" s="99"/>
      <c r="EG304" s="99"/>
      <c r="EH304" s="99"/>
      <c r="EI304" s="99"/>
      <c r="EJ304" s="99"/>
      <c r="EK304" s="99"/>
      <c r="EL304" s="99"/>
      <c r="EM304" s="99"/>
      <c r="EN304" s="99"/>
      <c r="EO304" s="99"/>
      <c r="EP304" s="99"/>
      <c r="EQ304" s="99"/>
      <c r="ER304" s="99"/>
      <c r="ES304" s="99"/>
      <c r="ET304" s="99"/>
      <c r="EU304" s="99"/>
      <c r="EV304" s="99"/>
      <c r="EW304" s="99"/>
      <c r="EX304" s="99"/>
      <c r="EY304" s="99"/>
      <c r="EZ304" s="99"/>
      <c r="FA304" s="99"/>
      <c r="FB304" s="99"/>
      <c r="FC304" s="99"/>
      <c r="FD304" s="99"/>
      <c r="FE304" s="99"/>
      <c r="FF304" s="99"/>
      <c r="FG304" s="99"/>
      <c r="FH304" s="99"/>
      <c r="FI304" s="99"/>
      <c r="FJ304" s="99"/>
      <c r="FK304" s="99"/>
      <c r="FL304" s="99"/>
      <c r="FM304" s="99"/>
      <c r="FN304" s="99"/>
      <c r="FO304" s="99"/>
      <c r="FP304" s="99"/>
      <c r="FQ304" s="99"/>
      <c r="FR304" s="99"/>
      <c r="FS304" s="99"/>
      <c r="FT304" s="99"/>
      <c r="FU304" s="99"/>
    </row>
    <row r="305" spans="10:177" s="1" customFormat="1" ht="15.75">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9"/>
      <c r="DL305" s="99"/>
      <c r="DM305" s="99"/>
      <c r="DN305" s="99"/>
      <c r="DO305" s="99"/>
      <c r="DP305" s="99"/>
      <c r="DQ305" s="99"/>
      <c r="DR305" s="99"/>
      <c r="DS305" s="99"/>
      <c r="DT305" s="99"/>
      <c r="DU305" s="99"/>
      <c r="DV305" s="99"/>
      <c r="DW305" s="99"/>
      <c r="DX305" s="99"/>
      <c r="DY305" s="99"/>
      <c r="DZ305" s="99"/>
      <c r="EA305" s="99"/>
      <c r="EB305" s="99"/>
      <c r="EC305" s="99"/>
      <c r="ED305" s="99"/>
      <c r="EE305" s="99"/>
      <c r="EF305" s="99"/>
      <c r="EG305" s="99"/>
      <c r="EH305" s="99"/>
      <c r="EI305" s="99"/>
      <c r="EJ305" s="99"/>
      <c r="EK305" s="99"/>
      <c r="EL305" s="99"/>
      <c r="EM305" s="99"/>
      <c r="EN305" s="99"/>
      <c r="EO305" s="99"/>
      <c r="EP305" s="99"/>
      <c r="EQ305" s="99"/>
      <c r="ER305" s="99"/>
      <c r="ES305" s="99"/>
      <c r="ET305" s="99"/>
      <c r="EU305" s="99"/>
      <c r="EV305" s="99"/>
      <c r="EW305" s="99"/>
      <c r="EX305" s="99"/>
      <c r="EY305" s="99"/>
      <c r="EZ305" s="99"/>
      <c r="FA305" s="99"/>
      <c r="FB305" s="99"/>
      <c r="FC305" s="99"/>
      <c r="FD305" s="99"/>
      <c r="FE305" s="99"/>
      <c r="FF305" s="99"/>
      <c r="FG305" s="99"/>
      <c r="FH305" s="99"/>
      <c r="FI305" s="99"/>
      <c r="FJ305" s="99"/>
      <c r="FK305" s="99"/>
      <c r="FL305" s="99"/>
      <c r="FM305" s="99"/>
      <c r="FN305" s="99"/>
      <c r="FO305" s="99"/>
      <c r="FP305" s="99"/>
      <c r="FQ305" s="99"/>
      <c r="FR305" s="99"/>
      <c r="FS305" s="99"/>
      <c r="FT305" s="99"/>
      <c r="FU305" s="99"/>
    </row>
    <row r="306" spans="10:177" s="1" customFormat="1" ht="15.75">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c r="DT306" s="99"/>
      <c r="DU306" s="99"/>
      <c r="DV306" s="99"/>
      <c r="DW306" s="99"/>
      <c r="DX306" s="99"/>
      <c r="DY306" s="99"/>
      <c r="DZ306" s="99"/>
      <c r="EA306" s="99"/>
      <c r="EB306" s="99"/>
      <c r="EC306" s="99"/>
      <c r="ED306" s="99"/>
      <c r="EE306" s="99"/>
      <c r="EF306" s="99"/>
      <c r="EG306" s="99"/>
      <c r="EH306" s="99"/>
      <c r="EI306" s="99"/>
      <c r="EJ306" s="99"/>
      <c r="EK306" s="99"/>
      <c r="EL306" s="99"/>
      <c r="EM306" s="99"/>
      <c r="EN306" s="99"/>
      <c r="EO306" s="99"/>
      <c r="EP306" s="99"/>
      <c r="EQ306" s="99"/>
      <c r="ER306" s="99"/>
      <c r="ES306" s="99"/>
      <c r="ET306" s="99"/>
      <c r="EU306" s="99"/>
      <c r="EV306" s="99"/>
      <c r="EW306" s="99"/>
      <c r="EX306" s="99"/>
      <c r="EY306" s="99"/>
      <c r="EZ306" s="99"/>
      <c r="FA306" s="99"/>
      <c r="FB306" s="99"/>
      <c r="FC306" s="99"/>
      <c r="FD306" s="99"/>
      <c r="FE306" s="99"/>
      <c r="FF306" s="99"/>
      <c r="FG306" s="99"/>
      <c r="FH306" s="99"/>
      <c r="FI306" s="99"/>
      <c r="FJ306" s="99"/>
      <c r="FK306" s="99"/>
      <c r="FL306" s="99"/>
      <c r="FM306" s="99"/>
      <c r="FN306" s="99"/>
      <c r="FO306" s="99"/>
      <c r="FP306" s="99"/>
      <c r="FQ306" s="99"/>
      <c r="FR306" s="99"/>
      <c r="FS306" s="99"/>
      <c r="FT306" s="99"/>
      <c r="FU306" s="99"/>
    </row>
    <row r="307" spans="10:177" s="1" customFormat="1" ht="15.75">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c r="DT307" s="99"/>
      <c r="DU307" s="99"/>
      <c r="DV307" s="99"/>
      <c r="DW307" s="99"/>
      <c r="DX307" s="99"/>
      <c r="DY307" s="99"/>
      <c r="DZ307" s="99"/>
      <c r="EA307" s="99"/>
      <c r="EB307" s="99"/>
      <c r="EC307" s="99"/>
      <c r="ED307" s="99"/>
      <c r="EE307" s="99"/>
      <c r="EF307" s="99"/>
      <c r="EG307" s="99"/>
      <c r="EH307" s="99"/>
      <c r="EI307" s="99"/>
      <c r="EJ307" s="99"/>
      <c r="EK307" s="99"/>
      <c r="EL307" s="99"/>
      <c r="EM307" s="99"/>
      <c r="EN307" s="99"/>
      <c r="EO307" s="99"/>
      <c r="EP307" s="99"/>
      <c r="EQ307" s="99"/>
      <c r="ER307" s="99"/>
      <c r="ES307" s="99"/>
      <c r="ET307" s="99"/>
      <c r="EU307" s="99"/>
      <c r="EV307" s="99"/>
      <c r="EW307" s="99"/>
      <c r="EX307" s="99"/>
      <c r="EY307" s="99"/>
      <c r="EZ307" s="99"/>
      <c r="FA307" s="99"/>
      <c r="FB307" s="99"/>
      <c r="FC307" s="99"/>
      <c r="FD307" s="99"/>
      <c r="FE307" s="99"/>
      <c r="FF307" s="99"/>
      <c r="FG307" s="99"/>
      <c r="FH307" s="99"/>
      <c r="FI307" s="99"/>
      <c r="FJ307" s="99"/>
      <c r="FK307" s="99"/>
      <c r="FL307" s="99"/>
      <c r="FM307" s="99"/>
      <c r="FN307" s="99"/>
      <c r="FO307" s="99"/>
      <c r="FP307" s="99"/>
      <c r="FQ307" s="99"/>
      <c r="FR307" s="99"/>
      <c r="FS307" s="99"/>
      <c r="FT307" s="99"/>
      <c r="FU307" s="99"/>
    </row>
    <row r="308" spans="10:177" s="1" customFormat="1" ht="15.75">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c r="DT308" s="99"/>
      <c r="DU308" s="99"/>
      <c r="DV308" s="99"/>
      <c r="DW308" s="99"/>
      <c r="DX308" s="99"/>
      <c r="DY308" s="99"/>
      <c r="DZ308" s="99"/>
      <c r="EA308" s="99"/>
      <c r="EB308" s="99"/>
      <c r="EC308" s="99"/>
      <c r="ED308" s="99"/>
      <c r="EE308" s="99"/>
      <c r="EF308" s="99"/>
      <c r="EG308" s="99"/>
      <c r="EH308" s="99"/>
      <c r="EI308" s="99"/>
      <c r="EJ308" s="99"/>
      <c r="EK308" s="99"/>
      <c r="EL308" s="99"/>
      <c r="EM308" s="99"/>
      <c r="EN308" s="99"/>
      <c r="EO308" s="99"/>
      <c r="EP308" s="99"/>
      <c r="EQ308" s="99"/>
      <c r="ER308" s="99"/>
      <c r="ES308" s="99"/>
      <c r="ET308" s="99"/>
      <c r="EU308" s="99"/>
      <c r="EV308" s="99"/>
      <c r="EW308" s="99"/>
      <c r="EX308" s="99"/>
      <c r="EY308" s="99"/>
      <c r="EZ308" s="99"/>
      <c r="FA308" s="99"/>
      <c r="FB308" s="99"/>
      <c r="FC308" s="99"/>
      <c r="FD308" s="99"/>
      <c r="FE308" s="99"/>
      <c r="FF308" s="99"/>
      <c r="FG308" s="99"/>
      <c r="FH308" s="99"/>
      <c r="FI308" s="99"/>
      <c r="FJ308" s="99"/>
      <c r="FK308" s="99"/>
      <c r="FL308" s="99"/>
      <c r="FM308" s="99"/>
      <c r="FN308" s="99"/>
      <c r="FO308" s="99"/>
      <c r="FP308" s="99"/>
      <c r="FQ308" s="99"/>
      <c r="FR308" s="99"/>
      <c r="FS308" s="99"/>
      <c r="FT308" s="99"/>
      <c r="FU308" s="99"/>
    </row>
    <row r="309" spans="10:177" s="1" customFormat="1" ht="15.75">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c r="DT309" s="99"/>
      <c r="DU309" s="99"/>
      <c r="DV309" s="99"/>
      <c r="DW309" s="99"/>
      <c r="DX309" s="99"/>
      <c r="DY309" s="99"/>
      <c r="DZ309" s="99"/>
      <c r="EA309" s="99"/>
      <c r="EB309" s="99"/>
      <c r="EC309" s="99"/>
      <c r="ED309" s="99"/>
      <c r="EE309" s="99"/>
      <c r="EF309" s="99"/>
      <c r="EG309" s="99"/>
      <c r="EH309" s="99"/>
      <c r="EI309" s="99"/>
      <c r="EJ309" s="99"/>
      <c r="EK309" s="99"/>
      <c r="EL309" s="99"/>
      <c r="EM309" s="99"/>
      <c r="EN309" s="99"/>
      <c r="EO309" s="99"/>
      <c r="EP309" s="99"/>
      <c r="EQ309" s="99"/>
      <c r="ER309" s="99"/>
      <c r="ES309" s="99"/>
      <c r="ET309" s="99"/>
      <c r="EU309" s="99"/>
      <c r="EV309" s="99"/>
      <c r="EW309" s="99"/>
      <c r="EX309" s="99"/>
      <c r="EY309" s="99"/>
      <c r="EZ309" s="99"/>
      <c r="FA309" s="99"/>
      <c r="FB309" s="99"/>
      <c r="FC309" s="99"/>
      <c r="FD309" s="99"/>
      <c r="FE309" s="99"/>
      <c r="FF309" s="99"/>
      <c r="FG309" s="99"/>
      <c r="FH309" s="99"/>
      <c r="FI309" s="99"/>
      <c r="FJ309" s="99"/>
      <c r="FK309" s="99"/>
      <c r="FL309" s="99"/>
      <c r="FM309" s="99"/>
      <c r="FN309" s="99"/>
      <c r="FO309" s="99"/>
      <c r="FP309" s="99"/>
      <c r="FQ309" s="99"/>
      <c r="FR309" s="99"/>
      <c r="FS309" s="99"/>
      <c r="FT309" s="99"/>
      <c r="FU309" s="99"/>
    </row>
  </sheetData>
  <sheetProtection/>
  <mergeCells count="6">
    <mergeCell ref="A1:I1"/>
    <mergeCell ref="A2:I2"/>
    <mergeCell ref="A3:I3"/>
    <mergeCell ref="A113:I113"/>
    <mergeCell ref="A112:I112"/>
    <mergeCell ref="A111:I111"/>
  </mergeCells>
  <printOptions/>
  <pageMargins left="0.7874015748031497" right="0.7874015748031497" top="0.984251968503937" bottom="0.984251968503937" header="0.5118110236220472" footer="0.5118110236220472"/>
  <pageSetup fitToHeight="2" fitToWidth="1" horizontalDpi="600" verticalDpi="600" orientation="landscape" paperSize="9" scale="16" r:id="rId1"/>
  <rowBreaks count="2" manualBreakCount="2">
    <brk id="109" max="38" man="1"/>
    <brk id="113" max="255" man="1"/>
  </rowBreaks>
  <colBreaks count="1" manualBreakCount="1">
    <brk id="3" max="153" man="1"/>
  </colBreaks>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F19"/>
  <sheetViews>
    <sheetView zoomScalePageLayoutView="0" workbookViewId="0" topLeftCell="A1">
      <selection activeCell="D19" sqref="D19"/>
    </sheetView>
  </sheetViews>
  <sheetFormatPr defaultColWidth="9.140625" defaultRowHeight="12.75"/>
  <cols>
    <col min="1" max="1" width="50.140625" style="0" customWidth="1"/>
    <col min="2" max="2" width="14.8515625" style="0" customWidth="1"/>
    <col min="3" max="3" width="16.57421875" style="0" customWidth="1"/>
    <col min="4" max="4" width="16.140625" style="0" customWidth="1"/>
    <col min="5" max="5" width="16.28125" style="0" customWidth="1"/>
    <col min="6" max="6" width="15.28125" style="0" customWidth="1"/>
  </cols>
  <sheetData>
    <row r="1" spans="1:6" ht="12.75">
      <c r="A1" s="508" t="str">
        <f>Parâmetros!A7</f>
        <v>Município de : Tavares</v>
      </c>
      <c r="B1" s="508"/>
      <c r="C1" s="508"/>
      <c r="D1" s="509"/>
      <c r="E1" s="509"/>
      <c r="F1" s="509"/>
    </row>
    <row r="2" spans="1:6" ht="12.75">
      <c r="A2" s="510" t="str">
        <f>Parâmetros!A8</f>
        <v>LEI  ORÇAMENTÁRIAS  PARA 2022</v>
      </c>
      <c r="B2" s="510"/>
      <c r="C2" s="510"/>
      <c r="D2" s="509"/>
      <c r="E2" s="509"/>
      <c r="F2" s="509"/>
    </row>
    <row r="3" spans="1:6" ht="12.75">
      <c r="A3" s="511" t="s">
        <v>658</v>
      </c>
      <c r="B3" s="512"/>
      <c r="C3" s="512"/>
      <c r="D3" s="512"/>
      <c r="E3" s="512"/>
      <c r="F3" s="512"/>
    </row>
    <row r="4" spans="1:6" ht="12.75">
      <c r="A4" s="513" t="s">
        <v>643</v>
      </c>
      <c r="B4" s="514"/>
      <c r="C4" s="514"/>
      <c r="D4" s="514"/>
      <c r="E4" s="514"/>
      <c r="F4" s="514"/>
    </row>
    <row r="5" spans="1:6" ht="12.75">
      <c r="A5" s="114" t="s">
        <v>56</v>
      </c>
      <c r="B5" s="115">
        <v>2020</v>
      </c>
      <c r="C5" s="115">
        <f>B5+1</f>
        <v>2021</v>
      </c>
      <c r="D5" s="115">
        <f>C5+1</f>
        <v>2022</v>
      </c>
      <c r="E5" s="115">
        <f>D5+1</f>
        <v>2023</v>
      </c>
      <c r="F5" s="115">
        <f>E5+1</f>
        <v>2024</v>
      </c>
    </row>
    <row r="6" spans="1:6" ht="12.75">
      <c r="A6" s="116" t="s">
        <v>398</v>
      </c>
      <c r="B6" s="117">
        <f>Projeções!E8</f>
        <v>22655549.119999997</v>
      </c>
      <c r="C6" s="117">
        <f>Projeções!F8</f>
        <v>25434096.599999998</v>
      </c>
      <c r="D6" s="117">
        <f>Projeções!G8</f>
        <v>28234702.84</v>
      </c>
      <c r="E6" s="117">
        <f>Projeções!H8</f>
        <v>31326858.71832045</v>
      </c>
      <c r="F6" s="117">
        <f>Projeções!I8</f>
        <v>34325852.9816612</v>
      </c>
    </row>
    <row r="7" spans="1:6" ht="12.75">
      <c r="A7" s="118" t="s">
        <v>392</v>
      </c>
      <c r="B7" s="119">
        <f>B8+B9+B10+B11+B12</f>
        <v>3062040.928</v>
      </c>
      <c r="C7" s="119">
        <f>C8+C9+C10+C11+C12</f>
        <v>3850898.840571428</v>
      </c>
      <c r="D7" s="119">
        <f>D8+D9+D10+D11+D12</f>
        <v>5421902.84</v>
      </c>
      <c r="E7" s="119">
        <f>E8+E9+E10+E11+E12</f>
        <v>6916411.738507963</v>
      </c>
      <c r="F7" s="119">
        <f>F8+F9+F10+F11+F12</f>
        <v>8542683.991955448</v>
      </c>
    </row>
    <row r="8" spans="1:6" ht="12.75">
      <c r="A8" s="120" t="s">
        <v>393</v>
      </c>
      <c r="B8" s="121">
        <f>Projeções!E10+Projeções!E11</f>
        <v>223620.03</v>
      </c>
      <c r="C8" s="121">
        <f>Projeções!F10+Projeções!F11</f>
        <v>201607.09714285712</v>
      </c>
      <c r="D8" s="121">
        <f>Projeções!G10+Projeções!G11</f>
        <v>282000</v>
      </c>
      <c r="E8" s="121">
        <f>Projeções!H10+Projeções!H11</f>
        <v>335668.9575386001</v>
      </c>
      <c r="F8" s="121">
        <f>Projeções!I10+Projeções!I11</f>
        <v>412320.22117459815</v>
      </c>
    </row>
    <row r="9" spans="1:6" ht="12.75">
      <c r="A9" s="122" t="s">
        <v>394</v>
      </c>
      <c r="B9" s="123">
        <f>Projeções!E17</f>
        <v>0</v>
      </c>
      <c r="C9" s="123">
        <f>Projeções!F17</f>
        <v>0</v>
      </c>
      <c r="D9" s="123">
        <f>Projeções!G17</f>
        <v>0</v>
      </c>
      <c r="E9" s="123">
        <f>Projeções!H17</f>
        <v>0</v>
      </c>
      <c r="F9" s="123">
        <f>Projeções!I17</f>
        <v>0</v>
      </c>
    </row>
    <row r="10" spans="1:6" ht="12.75">
      <c r="A10" s="124" t="s">
        <v>395</v>
      </c>
      <c r="B10" s="123">
        <f>Projeções!E72</f>
        <v>0</v>
      </c>
      <c r="C10" s="123">
        <f>Projeções!F72</f>
        <v>0</v>
      </c>
      <c r="D10" s="123">
        <f>Projeções!G72</f>
        <v>0</v>
      </c>
      <c r="E10" s="123">
        <f>Projeções!H72</f>
        <v>0</v>
      </c>
      <c r="F10" s="123">
        <f>Projeções!I72</f>
        <v>0</v>
      </c>
    </row>
    <row r="11" spans="1:6" ht="12.75">
      <c r="A11" s="124" t="s">
        <v>407</v>
      </c>
      <c r="B11" s="123">
        <f>Projeções!E28</f>
        <v>0</v>
      </c>
      <c r="C11" s="123">
        <f>Projeções!F28</f>
        <v>0</v>
      </c>
      <c r="D11" s="123">
        <f>Projeções!G28</f>
        <v>0</v>
      </c>
      <c r="E11" s="123">
        <f>Projeções!H28</f>
        <v>0</v>
      </c>
      <c r="F11" s="123">
        <f>Projeções!I28</f>
        <v>0</v>
      </c>
    </row>
    <row r="12" spans="1:6" ht="12.75">
      <c r="A12" s="122" t="s">
        <v>404</v>
      </c>
      <c r="B12" s="123">
        <f>-(Projeções!E104+Projeções!E105+Projeções!E106)</f>
        <v>2838420.898</v>
      </c>
      <c r="C12" s="123">
        <f>-(Projeções!F104+Projeções!F105+Projeções!F106)</f>
        <v>3649291.743428571</v>
      </c>
      <c r="D12" s="123">
        <f>-(Projeções!G104+Projeções!G105+Projeções!G106)</f>
        <v>5139902.84</v>
      </c>
      <c r="E12" s="123">
        <f>-(Projeções!H104+Projeções!H105+Projeções!H106)</f>
        <v>6580742.780969363</v>
      </c>
      <c r="F12" s="123">
        <f>-(Projeções!I104+Projeções!I105+Projeções!I106)</f>
        <v>8130363.77078085</v>
      </c>
    </row>
    <row r="13" spans="1:6" ht="12.75">
      <c r="A13" s="118" t="s">
        <v>396</v>
      </c>
      <c r="B13" s="119">
        <f>-(IF(Projeções!E63+Projeções!E105&gt;0,0,Projeções!E63+Projeções!E105))</f>
        <v>421049.52799999993</v>
      </c>
      <c r="C13" s="119">
        <f>-(IF(Projeções!F63+Projeções!F105&gt;0,0,Projeções!F63+Projeções!F105))</f>
        <v>509515.40342857083</v>
      </c>
      <c r="D13" s="119">
        <f>-(IF(Projeções!G63+Projeções!G105&gt;0,0,Projeções!G63+Projeções!G105))</f>
        <v>414000</v>
      </c>
      <c r="E13" s="119">
        <f>-(IF(Projeções!H63+Projeções!H105&gt;0,0,Projeções!H63+Projeções!H105))</f>
        <v>468709.79607823025</v>
      </c>
      <c r="F13" s="119">
        <f>-(IF(Projeções!I63+Projeções!I105&gt;0,0,Projeções!I63+Projeções!I105))</f>
        <v>573222.5036199354</v>
      </c>
    </row>
    <row r="14" spans="1:6" ht="12.75">
      <c r="A14" s="116" t="s">
        <v>397</v>
      </c>
      <c r="B14" s="117">
        <f>B6-B7+B13</f>
        <v>20014557.72</v>
      </c>
      <c r="C14" s="117">
        <f>C6-C7+C13</f>
        <v>22092713.162857138</v>
      </c>
      <c r="D14" s="117">
        <f>D6-D7+D13</f>
        <v>23226800</v>
      </c>
      <c r="E14" s="117">
        <f>E6-E7+E13</f>
        <v>24879156.77589072</v>
      </c>
      <c r="F14" s="117">
        <f>F6-F7+F13</f>
        <v>26356391.493325688</v>
      </c>
    </row>
    <row r="16" ht="12.75">
      <c r="A16" s="170"/>
    </row>
    <row r="19" ht="12.75">
      <c r="B19" s="182"/>
    </row>
  </sheetData>
  <sheetProtection/>
  <mergeCells count="4">
    <mergeCell ref="A1:F1"/>
    <mergeCell ref="A2:F2"/>
    <mergeCell ref="A3:F3"/>
    <mergeCell ref="A4:F4"/>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42"/>
  <sheetViews>
    <sheetView zoomScaleSheetLayoutView="100" zoomScalePageLayoutView="0" workbookViewId="0" topLeftCell="A1">
      <selection activeCell="H13" sqref="H13"/>
    </sheetView>
  </sheetViews>
  <sheetFormatPr defaultColWidth="9.140625" defaultRowHeight="12.75"/>
  <cols>
    <col min="1" max="1" width="71.28125" style="0" customWidth="1"/>
    <col min="2" max="2" width="19.140625" style="0" customWidth="1"/>
    <col min="3" max="3" width="17.7109375" style="0" customWidth="1"/>
    <col min="4" max="4" width="19.7109375" style="0" customWidth="1"/>
  </cols>
  <sheetData>
    <row r="1" spans="1:4" ht="12.75">
      <c r="A1" s="518" t="str">
        <f>Parâmetros!A7</f>
        <v>Município de : Tavares</v>
      </c>
      <c r="B1" s="519"/>
      <c r="C1" s="519"/>
      <c r="D1" s="519"/>
    </row>
    <row r="2" spans="1:4" ht="12.75">
      <c r="A2" s="520" t="s">
        <v>703</v>
      </c>
      <c r="B2" s="520"/>
      <c r="C2" s="520"/>
      <c r="D2" s="520"/>
    </row>
    <row r="3" spans="1:4" ht="13.5">
      <c r="A3" s="521" t="s">
        <v>691</v>
      </c>
      <c r="B3" s="522"/>
      <c r="C3" s="522"/>
      <c r="D3" s="522"/>
    </row>
    <row r="4" spans="1:4" ht="15">
      <c r="A4" s="163"/>
      <c r="B4" s="162"/>
      <c r="C4" s="162"/>
      <c r="D4" s="162"/>
    </row>
    <row r="5" spans="1:4" ht="12.75">
      <c r="A5" s="515" t="s">
        <v>481</v>
      </c>
      <c r="B5" s="517"/>
      <c r="C5" s="517"/>
      <c r="D5" s="517"/>
    </row>
    <row r="6" spans="1:4" ht="12.75">
      <c r="A6" s="516"/>
      <c r="B6" s="164">
        <v>2022</v>
      </c>
      <c r="C6" s="164">
        <v>2023</v>
      </c>
      <c r="D6" s="164">
        <v>2024</v>
      </c>
    </row>
    <row r="7" spans="1:4" ht="12.75">
      <c r="A7" s="165" t="s">
        <v>478</v>
      </c>
      <c r="B7" s="169">
        <f>RCL!D14*0.54</f>
        <v>12542472</v>
      </c>
      <c r="C7" s="169">
        <f>RCL!E14*0.54</f>
        <v>13434744.65898099</v>
      </c>
      <c r="D7" s="169">
        <f>RCL!F14*0.54</f>
        <v>14232451.406395873</v>
      </c>
    </row>
    <row r="8" spans="1:4" ht="12.75">
      <c r="A8" s="166" t="s">
        <v>479</v>
      </c>
      <c r="B8" s="169">
        <f>RCL!D14*0.513</f>
        <v>11915348.4</v>
      </c>
      <c r="C8" s="169">
        <f>RCL!E14*0.513</f>
        <v>12763007.42603194</v>
      </c>
      <c r="D8" s="169">
        <f>RCL!F14*0.513</f>
        <v>13520828.836076079</v>
      </c>
    </row>
    <row r="9" spans="1:4" ht="12.75">
      <c r="A9" s="165" t="s">
        <v>480</v>
      </c>
      <c r="B9" s="169">
        <f>RCL!D14*0.486</f>
        <v>11288224.799999999</v>
      </c>
      <c r="C9" s="169">
        <f>RCL!E14*0.486</f>
        <v>12091270.19308289</v>
      </c>
      <c r="D9" s="169">
        <f>RCL!F14*0.486</f>
        <v>12809206.265756285</v>
      </c>
    </row>
    <row r="10" spans="1:4" ht="12.75">
      <c r="A10" s="523"/>
      <c r="B10" s="523"/>
      <c r="C10" s="523"/>
      <c r="D10" s="523"/>
    </row>
    <row r="11" spans="1:4" ht="12.75">
      <c r="A11" s="167"/>
      <c r="B11" s="168"/>
      <c r="C11" s="168"/>
      <c r="D11" s="168"/>
    </row>
    <row r="12" spans="1:4" ht="12.75">
      <c r="A12" s="167"/>
      <c r="B12" s="168"/>
      <c r="C12" s="168"/>
      <c r="D12" s="168"/>
    </row>
    <row r="13" spans="1:4" ht="12.75">
      <c r="A13" s="515" t="s">
        <v>482</v>
      </c>
      <c r="B13" s="517"/>
      <c r="C13" s="517"/>
      <c r="D13" s="517"/>
    </row>
    <row r="14" spans="1:4" ht="12.75">
      <c r="A14" s="516"/>
      <c r="B14" s="164">
        <v>2022</v>
      </c>
      <c r="C14" s="164">
        <v>2023</v>
      </c>
      <c r="D14" s="164">
        <v>2024</v>
      </c>
    </row>
    <row r="15" spans="1:4" ht="12.75">
      <c r="A15" s="173" t="s">
        <v>483</v>
      </c>
      <c r="B15" s="171">
        <f>RCL!D14*0.06</f>
        <v>1393608</v>
      </c>
      <c r="C15" s="171">
        <f>RCL!E14*0.06</f>
        <v>1492749.406553443</v>
      </c>
      <c r="D15" s="171">
        <f>RCL!F14*0.06</f>
        <v>1581383.4895995413</v>
      </c>
    </row>
    <row r="16" spans="1:4" ht="12.75">
      <c r="A16" s="174" t="s">
        <v>484</v>
      </c>
      <c r="B16" s="169">
        <f>RCL!D14*0.057</f>
        <v>1323927.6</v>
      </c>
      <c r="C16" s="169">
        <f>RCL!E14*0.057</f>
        <v>1418111.936225771</v>
      </c>
      <c r="D16" s="169">
        <f>RCL!F14*0.057</f>
        <v>1502314.3151195643</v>
      </c>
    </row>
    <row r="17" spans="1:4" ht="12.75">
      <c r="A17" s="175" t="s">
        <v>485</v>
      </c>
      <c r="B17" s="172">
        <f>RCL!D14*0.054</f>
        <v>1254247.2</v>
      </c>
      <c r="C17" s="172">
        <f>RCL!E14*0.054</f>
        <v>1343474.465898099</v>
      </c>
      <c r="D17" s="172">
        <f>RCL!F14*0.054</f>
        <v>1423245.140639587</v>
      </c>
    </row>
    <row r="20" spans="1:4" ht="12.75">
      <c r="A20" s="176"/>
      <c r="B20" s="183"/>
      <c r="C20" s="183"/>
      <c r="D20" s="183"/>
    </row>
    <row r="21" spans="1:4" ht="12.75">
      <c r="A21" s="183"/>
      <c r="B21" s="183"/>
      <c r="C21" s="183"/>
      <c r="D21" s="183"/>
    </row>
    <row r="22" spans="1:4" ht="12.75">
      <c r="A22" s="183"/>
      <c r="B22" s="183"/>
      <c r="C22" s="183"/>
      <c r="D22" s="183"/>
    </row>
    <row r="23" spans="1:4" ht="12.75">
      <c r="A23" s="183"/>
      <c r="B23" s="183"/>
      <c r="C23" s="183"/>
      <c r="D23" s="183"/>
    </row>
    <row r="24" spans="1:4" ht="12.75">
      <c r="A24" s="183"/>
      <c r="B24" s="183"/>
      <c r="C24" s="183"/>
      <c r="D24" s="183"/>
    </row>
    <row r="25" spans="1:4" ht="12.75">
      <c r="A25" s="183"/>
      <c r="B25" s="183"/>
      <c r="C25" s="183"/>
      <c r="D25" s="183"/>
    </row>
    <row r="26" spans="1:4" ht="12.75">
      <c r="A26" s="183"/>
      <c r="B26" s="183"/>
      <c r="C26" s="183"/>
      <c r="D26" s="183"/>
    </row>
    <row r="27" spans="1:4" ht="12.75">
      <c r="A27" s="183"/>
      <c r="B27" s="183"/>
      <c r="C27" s="183"/>
      <c r="D27" s="183"/>
    </row>
    <row r="28" spans="1:4" ht="12.75">
      <c r="A28" s="183"/>
      <c r="B28" s="183"/>
      <c r="C28" s="183"/>
      <c r="D28" s="183"/>
    </row>
    <row r="29" spans="1:4" ht="12.75">
      <c r="A29" s="183"/>
      <c r="B29" s="183"/>
      <c r="C29" s="183"/>
      <c r="D29" s="183"/>
    </row>
    <row r="30" spans="1:4" ht="12.75">
      <c r="A30" s="183"/>
      <c r="B30" s="183"/>
      <c r="C30" s="183"/>
      <c r="D30" s="183"/>
    </row>
    <row r="31" spans="1:4" ht="12.75">
      <c r="A31" s="183"/>
      <c r="B31" s="183"/>
      <c r="C31" s="183"/>
      <c r="D31" s="183"/>
    </row>
    <row r="32" spans="1:4" ht="12.75">
      <c r="A32" s="183"/>
      <c r="B32" s="183"/>
      <c r="C32" s="183"/>
      <c r="D32" s="183"/>
    </row>
    <row r="33" spans="1:4" ht="12.75">
      <c r="A33" s="183"/>
      <c r="B33" s="183"/>
      <c r="C33" s="183"/>
      <c r="D33" s="183"/>
    </row>
    <row r="34" spans="1:4" ht="12.75">
      <c r="A34" s="183"/>
      <c r="B34" s="183"/>
      <c r="C34" s="183"/>
      <c r="D34" s="183"/>
    </row>
    <row r="35" spans="1:4" ht="0.75" customHeight="1">
      <c r="A35" s="183"/>
      <c r="B35" s="183"/>
      <c r="C35" s="183"/>
      <c r="D35" s="183"/>
    </row>
    <row r="36" spans="1:4" ht="12.75" customHeight="1" hidden="1">
      <c r="A36" s="183"/>
      <c r="B36" s="183"/>
      <c r="C36" s="183"/>
      <c r="D36" s="183"/>
    </row>
    <row r="37" spans="1:4" ht="12.75" customHeight="1" hidden="1">
      <c r="A37" s="183"/>
      <c r="B37" s="183"/>
      <c r="C37" s="183"/>
      <c r="D37" s="183"/>
    </row>
    <row r="38" spans="1:4" ht="12.75" customHeight="1" hidden="1">
      <c r="A38" s="183"/>
      <c r="B38" s="183"/>
      <c r="C38" s="183"/>
      <c r="D38" s="183"/>
    </row>
    <row r="39" spans="1:4" ht="12.75" customHeight="1" hidden="1">
      <c r="A39" s="183"/>
      <c r="B39" s="183"/>
      <c r="C39" s="183"/>
      <c r="D39" s="183"/>
    </row>
    <row r="40" spans="1:4" ht="12.75" customHeight="1" hidden="1">
      <c r="A40" s="183"/>
      <c r="B40" s="183"/>
      <c r="C40" s="183"/>
      <c r="D40" s="183"/>
    </row>
    <row r="41" spans="1:4" ht="12.75" customHeight="1" hidden="1">
      <c r="A41" s="183"/>
      <c r="B41" s="183"/>
      <c r="C41" s="183"/>
      <c r="D41" s="183"/>
    </row>
    <row r="42" spans="1:4" ht="12.75" customHeight="1" hidden="1">
      <c r="A42" s="183"/>
      <c r="B42" s="183"/>
      <c r="C42" s="183"/>
      <c r="D42" s="183"/>
    </row>
  </sheetData>
  <sheetProtection/>
  <mergeCells count="8">
    <mergeCell ref="A13:A14"/>
    <mergeCell ref="B13:D13"/>
    <mergeCell ref="A1:D1"/>
    <mergeCell ref="A2:D2"/>
    <mergeCell ref="A3:D3"/>
    <mergeCell ref="A5:A6"/>
    <mergeCell ref="B5:D5"/>
    <mergeCell ref="A10:D10"/>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87"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tabColor rgb="FFFFFF00"/>
  </sheetPr>
  <dimension ref="A1:J44"/>
  <sheetViews>
    <sheetView showGridLines="0" zoomScale="90" zoomScaleNormal="90" zoomScalePageLayoutView="0" workbookViewId="0" topLeftCell="A1">
      <selection activeCell="H6" sqref="H6"/>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528" t="str">
        <f>Parâmetros!A7</f>
        <v>Município de : Tavares</v>
      </c>
      <c r="B1" s="529"/>
      <c r="C1" s="529"/>
      <c r="D1" s="529"/>
      <c r="E1" s="529"/>
      <c r="F1" s="529"/>
      <c r="G1" s="529"/>
      <c r="H1" s="529"/>
      <c r="I1" s="529"/>
      <c r="J1" s="530"/>
    </row>
    <row r="2" spans="1:10" ht="12">
      <c r="A2" s="531" t="s">
        <v>705</v>
      </c>
      <c r="B2" s="529"/>
      <c r="C2" s="529"/>
      <c r="D2" s="529"/>
      <c r="E2" s="529"/>
      <c r="F2" s="529"/>
      <c r="G2" s="529"/>
      <c r="H2" s="529"/>
      <c r="I2" s="529"/>
      <c r="J2" s="530"/>
    </row>
    <row r="3" spans="1:10" ht="12">
      <c r="A3" s="531" t="s">
        <v>639</v>
      </c>
      <c r="B3" s="529"/>
      <c r="C3" s="529"/>
      <c r="D3" s="529"/>
      <c r="E3" s="529"/>
      <c r="F3" s="529"/>
      <c r="G3" s="529"/>
      <c r="H3" s="529"/>
      <c r="I3" s="529"/>
      <c r="J3" s="530"/>
    </row>
    <row r="4" spans="1:3" ht="12">
      <c r="A4" s="33"/>
      <c r="C4" s="30"/>
    </row>
    <row r="5" spans="1:7" ht="15">
      <c r="A5" s="527" t="s">
        <v>145</v>
      </c>
      <c r="B5" s="272">
        <v>2019</v>
      </c>
      <c r="C5" s="272">
        <f>B5+1</f>
        <v>2020</v>
      </c>
      <c r="D5" s="272">
        <f>C5+1</f>
        <v>2021</v>
      </c>
      <c r="E5" s="272">
        <f>D5+1</f>
        <v>2022</v>
      </c>
      <c r="F5" s="272">
        <f>E5+1</f>
        <v>2023</v>
      </c>
      <c r="G5" s="272">
        <f>F5+1</f>
        <v>2024</v>
      </c>
    </row>
    <row r="6" spans="1:7" ht="39.75" customHeight="1">
      <c r="A6" s="527"/>
      <c r="B6" s="377" t="s">
        <v>128</v>
      </c>
      <c r="C6" s="331" t="s">
        <v>128</v>
      </c>
      <c r="D6" s="331" t="s">
        <v>129</v>
      </c>
      <c r="E6" s="331" t="s">
        <v>602</v>
      </c>
      <c r="F6" s="331" t="s">
        <v>602</v>
      </c>
      <c r="G6" s="331" t="s">
        <v>602</v>
      </c>
    </row>
    <row r="7" spans="1:7" ht="21.75" customHeight="1">
      <c r="A7" s="376" t="s">
        <v>596</v>
      </c>
      <c r="B7" s="378">
        <f aca="true" t="shared" si="0" ref="B7:G7">B8+B9+B10</f>
        <v>297313.21</v>
      </c>
      <c r="C7" s="378">
        <f t="shared" si="0"/>
        <v>821802.37</v>
      </c>
      <c r="D7" s="378">
        <f t="shared" si="0"/>
        <v>1089015.24</v>
      </c>
      <c r="E7" s="378">
        <f t="shared" si="0"/>
        <v>736043.6066666668</v>
      </c>
      <c r="F7" s="378">
        <f t="shared" si="0"/>
        <v>882287.0722222222</v>
      </c>
      <c r="G7" s="378">
        <f t="shared" si="0"/>
        <v>902448.6396296296</v>
      </c>
    </row>
    <row r="8" spans="1:7" ht="22.5" customHeight="1">
      <c r="A8" s="274" t="s">
        <v>593</v>
      </c>
      <c r="B8" s="63">
        <v>0</v>
      </c>
      <c r="C8" s="63">
        <v>0</v>
      </c>
      <c r="D8" s="63">
        <v>0</v>
      </c>
      <c r="E8" s="276">
        <f aca="true" t="shared" si="1" ref="E8:G10">(B8+C8+D8)/3</f>
        <v>0</v>
      </c>
      <c r="F8" s="276">
        <f t="shared" si="1"/>
        <v>0</v>
      </c>
      <c r="G8" s="276">
        <f t="shared" si="1"/>
        <v>0</v>
      </c>
    </row>
    <row r="9" spans="1:7" ht="22.5" customHeight="1">
      <c r="A9" s="274" t="s">
        <v>594</v>
      </c>
      <c r="B9" s="63">
        <v>297313.21</v>
      </c>
      <c r="C9" s="63">
        <v>821802.37</v>
      </c>
      <c r="D9" s="63">
        <v>1089015.24</v>
      </c>
      <c r="E9" s="276">
        <f t="shared" si="1"/>
        <v>736043.6066666668</v>
      </c>
      <c r="F9" s="276">
        <f t="shared" si="1"/>
        <v>882287.0722222222</v>
      </c>
      <c r="G9" s="276">
        <f t="shared" si="1"/>
        <v>902448.6396296296</v>
      </c>
    </row>
    <row r="10" spans="1:7" ht="22.5" customHeight="1">
      <c r="A10" s="274" t="s">
        <v>595</v>
      </c>
      <c r="B10" s="63">
        <v>0</v>
      </c>
      <c r="C10" s="63">
        <v>0</v>
      </c>
      <c r="D10" s="63">
        <v>0</v>
      </c>
      <c r="E10" s="276">
        <f t="shared" si="1"/>
        <v>0</v>
      </c>
      <c r="F10" s="276">
        <f t="shared" si="1"/>
        <v>0</v>
      </c>
      <c r="G10" s="276">
        <f t="shared" si="1"/>
        <v>0</v>
      </c>
    </row>
    <row r="11" spans="1:7" ht="15">
      <c r="A11" s="274" t="s">
        <v>597</v>
      </c>
      <c r="B11" s="378">
        <f aca="true" t="shared" si="2" ref="B11:G11">B12-B13+B14</f>
        <v>2771510.98</v>
      </c>
      <c r="C11" s="378">
        <f t="shared" si="2"/>
        <v>3207770.24</v>
      </c>
      <c r="D11" s="378">
        <f t="shared" si="2"/>
        <v>4880311.57</v>
      </c>
      <c r="E11" s="378">
        <f t="shared" si="2"/>
        <v>3619864.263333333</v>
      </c>
      <c r="F11" s="378">
        <f t="shared" si="2"/>
        <v>3902648.691111111</v>
      </c>
      <c r="G11" s="378">
        <f t="shared" si="2"/>
        <v>4134274.841481482</v>
      </c>
    </row>
    <row r="12" spans="1:7" ht="15">
      <c r="A12" s="274" t="s">
        <v>598</v>
      </c>
      <c r="B12" s="63">
        <v>3215857.07</v>
      </c>
      <c r="C12" s="63">
        <v>3549044.04</v>
      </c>
      <c r="D12" s="63">
        <v>4972938.07</v>
      </c>
      <c r="E12" s="276">
        <f aca="true" t="shared" si="3" ref="E12:G14">(B12+C12+D12)/3</f>
        <v>3912613.06</v>
      </c>
      <c r="F12" s="276">
        <f t="shared" si="3"/>
        <v>4144865.0566666666</v>
      </c>
      <c r="G12" s="276">
        <f t="shared" si="3"/>
        <v>4343472.062222223</v>
      </c>
    </row>
    <row r="13" spans="1:7" ht="15">
      <c r="A13" s="274" t="s">
        <v>599</v>
      </c>
      <c r="B13" s="63">
        <v>444346.09</v>
      </c>
      <c r="C13" s="63">
        <v>341273.8</v>
      </c>
      <c r="D13" s="63">
        <v>92626.5</v>
      </c>
      <c r="E13" s="276">
        <f t="shared" si="3"/>
        <v>292748.7966666667</v>
      </c>
      <c r="F13" s="276">
        <f t="shared" si="3"/>
        <v>242216.36555555556</v>
      </c>
      <c r="G13" s="276">
        <f t="shared" si="3"/>
        <v>209197.22074074074</v>
      </c>
    </row>
    <row r="14" spans="1:7" ht="15">
      <c r="A14" s="274" t="s">
        <v>601</v>
      </c>
      <c r="B14" s="63">
        <v>0</v>
      </c>
      <c r="C14" s="63">
        <v>0</v>
      </c>
      <c r="D14" s="484">
        <v>0</v>
      </c>
      <c r="E14" s="276">
        <f t="shared" si="3"/>
        <v>0</v>
      </c>
      <c r="F14" s="276">
        <f t="shared" si="3"/>
        <v>0</v>
      </c>
      <c r="G14" s="276">
        <f t="shared" si="3"/>
        <v>0</v>
      </c>
    </row>
    <row r="15" spans="1:7" ht="20.25" customHeight="1">
      <c r="A15" s="274" t="s">
        <v>600</v>
      </c>
      <c r="B15" s="275">
        <f aca="true" t="shared" si="4" ref="B15:G15">B7-B11</f>
        <v>-2474197.77</v>
      </c>
      <c r="C15" s="275">
        <f t="shared" si="4"/>
        <v>-2385967.87</v>
      </c>
      <c r="D15" s="275">
        <f t="shared" si="4"/>
        <v>-3791296.33</v>
      </c>
      <c r="E15" s="275">
        <f t="shared" si="4"/>
        <v>-2883820.6566666663</v>
      </c>
      <c r="F15" s="275">
        <f t="shared" si="4"/>
        <v>-3020361.618888889</v>
      </c>
      <c r="G15" s="275">
        <f t="shared" si="4"/>
        <v>-3231826.2018518527</v>
      </c>
    </row>
    <row r="16" spans="1:10" s="34" customFormat="1" ht="15">
      <c r="A16" s="48"/>
      <c r="B16" s="49"/>
      <c r="C16" s="49"/>
      <c r="D16" s="49"/>
      <c r="E16" s="49"/>
      <c r="F16" s="49"/>
      <c r="G16" s="49"/>
      <c r="J16" s="63"/>
    </row>
    <row r="17" spans="1:7" ht="15">
      <c r="A17" s="50" t="s">
        <v>603</v>
      </c>
      <c r="B17" s="64"/>
      <c r="C17" s="51"/>
      <c r="D17" s="51"/>
      <c r="E17" s="51"/>
      <c r="F17" s="51"/>
      <c r="G17" s="52" t="s">
        <v>5</v>
      </c>
    </row>
    <row r="18" spans="1:7" ht="15">
      <c r="A18" s="527" t="s">
        <v>152</v>
      </c>
      <c r="B18" s="272">
        <f>Parâmetros!B10</f>
        <v>2018</v>
      </c>
      <c r="C18" s="272">
        <f>B18+1</f>
        <v>2019</v>
      </c>
      <c r="D18" s="272">
        <f>C18+1</f>
        <v>2020</v>
      </c>
      <c r="E18" s="272">
        <f>D18+1</f>
        <v>2021</v>
      </c>
      <c r="F18" s="272">
        <f>E18+1</f>
        <v>2022</v>
      </c>
      <c r="G18" s="272">
        <f>F18+1</f>
        <v>2023</v>
      </c>
    </row>
    <row r="19" spans="1:7" ht="15">
      <c r="A19" s="527"/>
      <c r="B19" s="272" t="s">
        <v>10</v>
      </c>
      <c r="C19" s="273" t="s">
        <v>10</v>
      </c>
      <c r="D19" s="273" t="s">
        <v>129</v>
      </c>
      <c r="E19" s="273" t="s">
        <v>11</v>
      </c>
      <c r="F19" s="273" t="s">
        <v>11</v>
      </c>
      <c r="G19" s="273" t="s">
        <v>11</v>
      </c>
    </row>
    <row r="20" spans="1:7" s="35" customFormat="1" ht="15">
      <c r="A20" s="277" t="s">
        <v>38</v>
      </c>
      <c r="B20" s="278">
        <f>Projeções!D79</f>
        <v>0</v>
      </c>
      <c r="C20" s="278">
        <f>Projeções!E79</f>
        <v>553375.47</v>
      </c>
      <c r="D20" s="278">
        <v>1500000</v>
      </c>
      <c r="E20" s="65">
        <v>0</v>
      </c>
      <c r="F20" s="65">
        <v>0</v>
      </c>
      <c r="G20" s="65">
        <v>0</v>
      </c>
    </row>
    <row r="21" spans="1:7" ht="15">
      <c r="A21" s="274" t="s">
        <v>486</v>
      </c>
      <c r="B21" s="275">
        <f>Projeções!D124+Projeções!D125</f>
        <v>0</v>
      </c>
      <c r="C21" s="275">
        <f>Projeções!E124+Projeções!E125</f>
        <v>8368.05</v>
      </c>
      <c r="D21" s="275">
        <f>Projeções!F124+Projeções!F125</f>
        <v>54847.28571428572</v>
      </c>
      <c r="E21" s="275">
        <f>Projeções!G124+Projeções!G125</f>
        <v>110300</v>
      </c>
      <c r="F21" s="275">
        <f>Projeções!H124+Projeções!H125</f>
        <v>115109.08000000002</v>
      </c>
      <c r="G21" s="275">
        <f>Projeções!I124+Projeções!I125</f>
        <v>121371.01395200002</v>
      </c>
    </row>
    <row r="22" spans="1:7" ht="15">
      <c r="A22" s="274" t="s">
        <v>487</v>
      </c>
      <c r="B22" s="275">
        <f>Projeções!D145+Projeções!D146</f>
        <v>23386.04</v>
      </c>
      <c r="C22" s="275">
        <f>Projeções!E145+Projeções!E146</f>
        <v>17909.82</v>
      </c>
      <c r="D22" s="275">
        <f>Projeções!F145+Projeções!F146</f>
        <v>168.2677380952381</v>
      </c>
      <c r="E22" s="275">
        <f>Projeções!G145+Projeções!G146</f>
        <v>152300</v>
      </c>
      <c r="F22" s="275">
        <f>Projeções!H145+Projeções!H146</f>
        <v>157523.89</v>
      </c>
      <c r="G22" s="275">
        <f>Projeções!I145+Projeções!I146</f>
        <v>162753.683148</v>
      </c>
    </row>
    <row r="23" spans="1:7" ht="15.75" customHeight="1" hidden="1">
      <c r="A23" s="67" t="s">
        <v>35</v>
      </c>
      <c r="B23" s="66"/>
      <c r="C23" s="66"/>
      <c r="D23" s="66"/>
      <c r="E23" s="66"/>
      <c r="F23" s="66"/>
      <c r="G23" s="66"/>
    </row>
    <row r="24" spans="1:7" ht="12.75">
      <c r="A24" s="524"/>
      <c r="B24" s="525"/>
      <c r="C24" s="525"/>
      <c r="D24" s="525"/>
      <c r="E24" s="525"/>
      <c r="F24" s="525"/>
      <c r="G24" s="526"/>
    </row>
    <row r="25" spans="1:3" ht="12">
      <c r="A25" s="33"/>
      <c r="C25" s="30"/>
    </row>
    <row r="26" spans="1:3" ht="12">
      <c r="A26" s="33"/>
      <c r="C26" s="30"/>
    </row>
    <row r="27" spans="1:3" ht="12">
      <c r="A27" s="33"/>
      <c r="C27" s="30"/>
    </row>
    <row r="28" spans="1:3" ht="12">
      <c r="A28" s="33"/>
      <c r="C28" s="30"/>
    </row>
    <row r="29" spans="1:3" ht="12">
      <c r="A29" s="33"/>
      <c r="C29" s="30"/>
    </row>
    <row r="30" spans="1:3" ht="12">
      <c r="A30" s="33"/>
      <c r="C30" s="30"/>
    </row>
    <row r="31" ht="12">
      <c r="A31" s="36"/>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sheetData>
  <sheetProtection/>
  <mergeCells count="6">
    <mergeCell ref="A24:G24"/>
    <mergeCell ref="A18:A19"/>
    <mergeCell ref="A1:J1"/>
    <mergeCell ref="A2:J2"/>
    <mergeCell ref="A3:J3"/>
    <mergeCell ref="A5:A6"/>
  </mergeCells>
  <printOptions/>
  <pageMargins left="0.7874015748031497" right="0.7874015748031497" top="0.984251968503937" bottom="0.984251968503937" header="0.5118110236220472" footer="0.5118110236220472"/>
  <pageSetup horizontalDpi="600" verticalDpi="600" orientation="landscape" scale="61"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79"/>
  <sheetViews>
    <sheetView zoomScalePageLayoutView="0" workbookViewId="0" topLeftCell="A28">
      <selection activeCell="A58" sqref="A58:G79"/>
    </sheetView>
  </sheetViews>
  <sheetFormatPr defaultColWidth="32.00390625" defaultRowHeight="12.75"/>
  <cols>
    <col min="1" max="1" width="64.7109375" style="364" customWidth="1"/>
    <col min="2" max="2" width="15.57421875" style="366" customWidth="1"/>
    <col min="3" max="3" width="16.57421875" style="369" customWidth="1"/>
    <col min="4" max="4" width="16.7109375" style="364" customWidth="1"/>
    <col min="5" max="5" width="16.28125" style="364" customWidth="1"/>
    <col min="6" max="6" width="16.140625" style="364" customWidth="1"/>
    <col min="7" max="7" width="17.00390625" style="364" customWidth="1"/>
    <col min="8" max="17" width="13.7109375" style="364" customWidth="1"/>
    <col min="18" max="16384" width="32.00390625" style="364" customWidth="1"/>
  </cols>
  <sheetData>
    <row r="1" spans="1:9" ht="15">
      <c r="A1" s="533" t="str">
        <f>Parâmetros!A7</f>
        <v>Município de : Tavares</v>
      </c>
      <c r="B1" s="534"/>
      <c r="C1" s="534"/>
      <c r="D1" s="534"/>
      <c r="E1" s="534"/>
      <c r="F1" s="534"/>
      <c r="G1" s="534"/>
      <c r="H1" s="534"/>
      <c r="I1" s="535"/>
    </row>
    <row r="2" spans="1:9" ht="15">
      <c r="A2" s="536" t="s">
        <v>705</v>
      </c>
      <c r="B2" s="534"/>
      <c r="C2" s="534"/>
      <c r="D2" s="534"/>
      <c r="E2" s="534"/>
      <c r="F2" s="534"/>
      <c r="G2" s="534"/>
      <c r="H2" s="534"/>
      <c r="I2" s="535"/>
    </row>
    <row r="3" spans="1:9" ht="15">
      <c r="A3" s="536" t="s">
        <v>640</v>
      </c>
      <c r="B3" s="534"/>
      <c r="C3" s="534"/>
      <c r="D3" s="534"/>
      <c r="E3" s="534"/>
      <c r="F3" s="534"/>
      <c r="G3" s="534"/>
      <c r="H3" s="534"/>
      <c r="I3" s="535"/>
    </row>
    <row r="4" spans="1:3" ht="15">
      <c r="A4" s="365"/>
      <c r="C4" s="364"/>
    </row>
    <row r="5" spans="1:7" ht="15">
      <c r="A5" s="532" t="s">
        <v>512</v>
      </c>
      <c r="B5" s="352">
        <v>2019</v>
      </c>
      <c r="C5" s="352">
        <f>B5+1</f>
        <v>2020</v>
      </c>
      <c r="D5" s="352">
        <f>C5+1</f>
        <v>2021</v>
      </c>
      <c r="E5" s="352">
        <f>D5+1</f>
        <v>2022</v>
      </c>
      <c r="F5" s="352">
        <f>E5+1</f>
        <v>2023</v>
      </c>
      <c r="G5" s="352">
        <f>F5+1</f>
        <v>2024</v>
      </c>
    </row>
    <row r="6" spans="1:7" ht="12.75" customHeight="1">
      <c r="A6" s="532"/>
      <c r="B6" s="352" t="s">
        <v>513</v>
      </c>
      <c r="C6" s="352" t="s">
        <v>513</v>
      </c>
      <c r="D6" s="353" t="s">
        <v>514</v>
      </c>
      <c r="E6" s="353" t="s">
        <v>514</v>
      </c>
      <c r="F6" s="353" t="s">
        <v>514</v>
      </c>
      <c r="G6" s="353" t="s">
        <v>514</v>
      </c>
    </row>
    <row r="7" spans="1:7" ht="19.5" customHeight="1">
      <c r="A7" s="354" t="s">
        <v>609</v>
      </c>
      <c r="B7" s="412">
        <f>Projeções!D8+Projeções!D103-Projeções!D107</f>
        <v>18472754.437999997</v>
      </c>
      <c r="C7" s="412">
        <f>Projeções!E8+Projeções!E103-Projeções!E107</f>
        <v>19817128.221999995</v>
      </c>
      <c r="D7" s="412">
        <f>Projeções!F8+Projeções!F103-Projeções!F107</f>
        <v>21784804.85657143</v>
      </c>
      <c r="E7" s="412">
        <f>Projeções!G8+Projeções!G103-Projeções!G107</f>
        <v>23094800</v>
      </c>
      <c r="F7" s="412">
        <f>Projeções!H8+Projeções!H103-Projeções!H107</f>
        <v>24746115.93735109</v>
      </c>
      <c r="G7" s="412">
        <f>Projeções!I8+Projeções!I103-Projeções!I107</f>
        <v>26195489.21088035</v>
      </c>
    </row>
    <row r="8" spans="1:7" ht="19.5" customHeight="1">
      <c r="A8" s="356" t="s">
        <v>515</v>
      </c>
      <c r="B8" s="412">
        <f>Projeções!D25-Projeções!D28</f>
        <v>26639.81</v>
      </c>
      <c r="C8" s="412">
        <f>Projeções!E25-Projeções!E28</f>
        <v>14029.02</v>
      </c>
      <c r="D8" s="412">
        <f>Projeções!F25-Projeções!F28</f>
        <v>40143.70285714285</v>
      </c>
      <c r="E8" s="412">
        <f>Projeções!G25-Projeções!G28</f>
        <v>63640</v>
      </c>
      <c r="F8" s="412">
        <f>Projeções!H25-Projeções!H28</f>
        <v>67488.1701556</v>
      </c>
      <c r="G8" s="412">
        <f>Projeções!I25-Projeções!I28</f>
        <v>71437.13245118268</v>
      </c>
    </row>
    <row r="9" spans="1:7" ht="19.5" customHeight="1">
      <c r="A9" s="356" t="s">
        <v>516</v>
      </c>
      <c r="B9" s="413">
        <f>Projeções!D28</f>
        <v>0</v>
      </c>
      <c r="C9" s="413">
        <f>Projeções!E28</f>
        <v>0</v>
      </c>
      <c r="D9" s="413">
        <f>Projeções!F28</f>
        <v>0</v>
      </c>
      <c r="E9" s="413">
        <f>Projeções!G28</f>
        <v>0</v>
      </c>
      <c r="F9" s="413">
        <f>Projeções!H28</f>
        <v>0</v>
      </c>
      <c r="G9" s="413">
        <f>Projeções!I28</f>
        <v>0</v>
      </c>
    </row>
    <row r="10" spans="1:7" ht="19.5" customHeight="1">
      <c r="A10" s="356" t="s">
        <v>517</v>
      </c>
      <c r="B10" s="413">
        <f>Projeções!D37+Projeções!D69+Projeções!D74+Projeções!D76</f>
        <v>0</v>
      </c>
      <c r="C10" s="413">
        <f>Projeções!E37+Projeções!E69+Projeções!E74+Projeções!E76</f>
        <v>0</v>
      </c>
      <c r="D10" s="413">
        <f>Projeções!F37+Projeções!F69+Projeções!F74+Projeções!F76</f>
        <v>0</v>
      </c>
      <c r="E10" s="413">
        <f>Projeções!G37+Projeções!G69+Projeções!G74+Projeções!G76</f>
        <v>0</v>
      </c>
      <c r="F10" s="413">
        <f>Projeções!H37+Projeções!H69+Projeções!H74+Projeções!H76</f>
        <v>0</v>
      </c>
      <c r="G10" s="413">
        <f>Projeções!I37+Projeções!I69+Projeções!I74+Projeções!I76</f>
        <v>0</v>
      </c>
    </row>
    <row r="11" spans="1:7" ht="19.5" customHeight="1">
      <c r="A11" s="354" t="s">
        <v>544</v>
      </c>
      <c r="B11" s="414">
        <f aca="true" t="shared" si="0" ref="B11:G11">B7-B8-B9-B10</f>
        <v>18446114.628</v>
      </c>
      <c r="C11" s="414">
        <f t="shared" si="0"/>
        <v>19803099.201999996</v>
      </c>
      <c r="D11" s="414">
        <f t="shared" si="0"/>
        <v>21744661.153714284</v>
      </c>
      <c r="E11" s="414">
        <f t="shared" si="0"/>
        <v>23031160</v>
      </c>
      <c r="F11" s="414">
        <f t="shared" si="0"/>
        <v>24678627.76719549</v>
      </c>
      <c r="G11" s="414">
        <f t="shared" si="0"/>
        <v>26124052.078429166</v>
      </c>
    </row>
    <row r="12" spans="1:7" ht="19.5" customHeight="1">
      <c r="A12" s="354"/>
      <c r="B12" s="414"/>
      <c r="C12" s="414"/>
      <c r="D12" s="414"/>
      <c r="E12" s="414"/>
      <c r="F12" s="414"/>
      <c r="G12" s="414"/>
    </row>
    <row r="13" spans="1:7" ht="19.5" customHeight="1">
      <c r="A13" s="357" t="s">
        <v>610</v>
      </c>
      <c r="B13" s="414">
        <f>Projeções!D78+Projeções!D107</f>
        <v>254153.81</v>
      </c>
      <c r="C13" s="414">
        <f>Projeções!E78+Projeções!E107</f>
        <v>2151287.58</v>
      </c>
      <c r="D13" s="414">
        <f>Projeções!F78+Projeções!F107</f>
        <v>1552701.6871428571</v>
      </c>
      <c r="E13" s="414">
        <f>Projeções!G78+Projeções!G107</f>
        <v>116500</v>
      </c>
      <c r="F13" s="414">
        <f>Projeções!H78+Projeções!H107</f>
        <v>-958004.0593259999</v>
      </c>
      <c r="G13" s="414">
        <f>Projeções!I78+Projeções!I107</f>
        <v>-1014138.6789998258</v>
      </c>
    </row>
    <row r="14" spans="1:7" ht="19.5" customHeight="1">
      <c r="A14" s="358" t="s">
        <v>518</v>
      </c>
      <c r="B14" s="413">
        <f>Projeções!D79</f>
        <v>0</v>
      </c>
      <c r="C14" s="413">
        <f>Projeções!E79</f>
        <v>553375.47</v>
      </c>
      <c r="D14" s="413">
        <f>Projeções!F79</f>
        <v>928531.03</v>
      </c>
      <c r="E14" s="413">
        <f>Projeções!G79</f>
        <v>112900</v>
      </c>
      <c r="F14" s="413">
        <f>Projeções!H79</f>
        <v>0</v>
      </c>
      <c r="G14" s="413">
        <f>Projeções!I79</f>
        <v>0</v>
      </c>
    </row>
    <row r="15" spans="1:7" ht="19.5" customHeight="1">
      <c r="A15" s="358" t="s">
        <v>519</v>
      </c>
      <c r="B15" s="413">
        <f>Projeções!D85</f>
        <v>0</v>
      </c>
      <c r="C15" s="413">
        <f>Projeções!E85</f>
        <v>0</v>
      </c>
      <c r="D15" s="413">
        <f>Projeções!F85</f>
        <v>0</v>
      </c>
      <c r="E15" s="413">
        <f>Projeções!G85</f>
        <v>0</v>
      </c>
      <c r="F15" s="413">
        <f>Projeções!H85</f>
        <v>0</v>
      </c>
      <c r="G15" s="413">
        <f>Projeções!I85</f>
        <v>0</v>
      </c>
    </row>
    <row r="16" spans="1:7" ht="19.5" customHeight="1">
      <c r="A16" s="358" t="s">
        <v>520</v>
      </c>
      <c r="B16" s="413">
        <f>Projeções!D81+Projeções!D82</f>
        <v>0</v>
      </c>
      <c r="C16" s="413">
        <f>Projeções!E81+Projeções!E82</f>
        <v>0</v>
      </c>
      <c r="D16" s="413">
        <f>Projeções!F81+Projeções!F82</f>
        <v>0</v>
      </c>
      <c r="E16" s="413">
        <f>Projeções!G81+Projeções!G82</f>
        <v>0</v>
      </c>
      <c r="F16" s="413">
        <f>Projeções!H81+Projeções!H82</f>
        <v>0</v>
      </c>
      <c r="G16" s="413">
        <f>Projeções!I81+Projeções!I82</f>
        <v>0</v>
      </c>
    </row>
    <row r="17" spans="1:8" ht="19.5" customHeight="1">
      <c r="A17" s="358" t="s">
        <v>521</v>
      </c>
      <c r="B17" s="413">
        <f>Projeções!D96</f>
        <v>6349.05</v>
      </c>
      <c r="C17" s="413">
        <f>Projeções!E96</f>
        <v>1480.25</v>
      </c>
      <c r="D17" s="413">
        <f>Projeções!F96</f>
        <v>10964.759999999998</v>
      </c>
      <c r="E17" s="413">
        <f>Projeções!G96</f>
        <v>2700</v>
      </c>
      <c r="F17" s="413">
        <f>Projeções!H96</f>
        <v>2792.61</v>
      </c>
      <c r="G17" s="413">
        <f>Projeções!I96</f>
        <v>2885.324652</v>
      </c>
      <c r="H17" s="359"/>
    </row>
    <row r="18" spans="1:7" ht="19.5" customHeight="1">
      <c r="A18" s="357" t="s">
        <v>545</v>
      </c>
      <c r="B18" s="414">
        <f aca="true" t="shared" si="1" ref="B18:G18">B13-B14-B15-B16-B17</f>
        <v>247804.76</v>
      </c>
      <c r="C18" s="414">
        <f t="shared" si="1"/>
        <v>1596431.86</v>
      </c>
      <c r="D18" s="414">
        <f t="shared" si="1"/>
        <v>613205.8971428571</v>
      </c>
      <c r="E18" s="414">
        <f t="shared" si="1"/>
        <v>900</v>
      </c>
      <c r="F18" s="414">
        <f t="shared" si="1"/>
        <v>-960796.6693259999</v>
      </c>
      <c r="G18" s="414">
        <f t="shared" si="1"/>
        <v>-1017024.0036518258</v>
      </c>
    </row>
    <row r="19" spans="1:7" s="367" customFormat="1" ht="19.5" customHeight="1">
      <c r="A19" s="360" t="s">
        <v>546</v>
      </c>
      <c r="B19" s="415">
        <f aca="true" t="shared" si="2" ref="B19:G19">B11+B18</f>
        <v>18693919.388</v>
      </c>
      <c r="C19" s="415">
        <f t="shared" si="2"/>
        <v>21399531.061999995</v>
      </c>
      <c r="D19" s="415">
        <f t="shared" si="2"/>
        <v>22357867.05085714</v>
      </c>
      <c r="E19" s="415">
        <f t="shared" si="2"/>
        <v>23032060</v>
      </c>
      <c r="F19" s="415">
        <f t="shared" si="2"/>
        <v>23717831.09786949</v>
      </c>
      <c r="G19" s="415">
        <f t="shared" si="2"/>
        <v>25107028.07477734</v>
      </c>
    </row>
    <row r="20" ht="15">
      <c r="A20" s="368"/>
    </row>
    <row r="21" spans="1:7" ht="15">
      <c r="A21" s="532" t="s">
        <v>539</v>
      </c>
      <c r="B21" s="352">
        <f>B5</f>
        <v>2019</v>
      </c>
      <c r="C21" s="352">
        <f>B21+1</f>
        <v>2020</v>
      </c>
      <c r="D21" s="352">
        <f>C21+1</f>
        <v>2021</v>
      </c>
      <c r="E21" s="352">
        <f>D21+1</f>
        <v>2022</v>
      </c>
      <c r="F21" s="352">
        <f>E21+1</f>
        <v>2023</v>
      </c>
      <c r="G21" s="352">
        <f>F21+1</f>
        <v>2024</v>
      </c>
    </row>
    <row r="22" spans="1:7" ht="15">
      <c r="A22" s="532"/>
      <c r="B22" s="352" t="s">
        <v>550</v>
      </c>
      <c r="C22" s="352" t="s">
        <v>550</v>
      </c>
      <c r="D22" s="353" t="s">
        <v>551</v>
      </c>
      <c r="E22" s="353" t="s">
        <v>514</v>
      </c>
      <c r="F22" s="353" t="s">
        <v>514</v>
      </c>
      <c r="G22" s="353" t="s">
        <v>514</v>
      </c>
    </row>
    <row r="23" spans="1:8" ht="15">
      <c r="A23" s="354" t="s">
        <v>611</v>
      </c>
      <c r="B23" s="416">
        <f>Projeções!D117-Projeções!D122-Projeções!D127-Projeções!D132</f>
        <v>16722142.639999997</v>
      </c>
      <c r="C23" s="416">
        <f>Projeções!E117-Projeções!E122-Projeções!E127-Projeções!E132</f>
        <v>17355015.37</v>
      </c>
      <c r="D23" s="416">
        <f>Projeções!F117-Projeções!F122-Projeções!F127-Projeções!F132</f>
        <v>19021164.351428572</v>
      </c>
      <c r="E23" s="416">
        <f>Projeções!G117-Projeções!G122-Projeções!G127-Projeções!G132</f>
        <v>21814551</v>
      </c>
      <c r="F23" s="416">
        <f>Projeções!H117-Projeções!H122-Projeções!H127-Projeções!H132</f>
        <v>23756466.55559385</v>
      </c>
      <c r="G23" s="416">
        <f>Projeções!I117-Projeções!I122-Projeções!I127-Projeções!I132</f>
        <v>26442782.158859946</v>
      </c>
      <c r="H23" s="355"/>
    </row>
    <row r="24" spans="1:7" ht="15">
      <c r="A24" s="356" t="s">
        <v>540</v>
      </c>
      <c r="B24" s="412">
        <f>Projeções!D123-Projeções!D127</f>
        <v>0</v>
      </c>
      <c r="C24" s="412">
        <f>Projeções!E123-Projeções!E127</f>
        <v>8368.05</v>
      </c>
      <c r="D24" s="412">
        <f>Projeções!F123-Projeções!F127</f>
        <v>54847.28571428572</v>
      </c>
      <c r="E24" s="412">
        <f>Projeções!G123-Projeções!G127</f>
        <v>110300</v>
      </c>
      <c r="F24" s="412">
        <f>Projeções!H123-Projeções!H127</f>
        <v>115109.08000000002</v>
      </c>
      <c r="G24" s="412">
        <f>Projeções!I123-Projeções!I127</f>
        <v>121371.01395200002</v>
      </c>
    </row>
    <row r="25" spans="1:7" ht="15">
      <c r="A25" s="354" t="s">
        <v>547</v>
      </c>
      <c r="B25" s="414">
        <f aca="true" t="shared" si="3" ref="B25:G25">B23-B24</f>
        <v>16722142.639999997</v>
      </c>
      <c r="C25" s="414">
        <f t="shared" si="3"/>
        <v>17346647.32</v>
      </c>
      <c r="D25" s="414">
        <f t="shared" si="3"/>
        <v>18966317.065714285</v>
      </c>
      <c r="E25" s="414">
        <f t="shared" si="3"/>
        <v>21704251</v>
      </c>
      <c r="F25" s="414">
        <f t="shared" si="3"/>
        <v>23641357.47559385</v>
      </c>
      <c r="G25" s="414">
        <f t="shared" si="3"/>
        <v>26321411.144907948</v>
      </c>
    </row>
    <row r="26" spans="1:7" ht="15">
      <c r="A26" s="354"/>
      <c r="B26" s="414"/>
      <c r="C26" s="414"/>
      <c r="D26" s="414"/>
      <c r="E26" s="414"/>
      <c r="F26" s="414"/>
      <c r="G26" s="414"/>
    </row>
    <row r="27" spans="1:7" ht="15">
      <c r="A27" s="357" t="s">
        <v>612</v>
      </c>
      <c r="B27" s="414">
        <f>Projeções!D133-Projeções!D138-Projeções!D143-Projeções!D148</f>
        <v>490920.88999999996</v>
      </c>
      <c r="C27" s="414">
        <f>Projeções!E133-Projeções!E138-Projeções!E143-Projeções!E148</f>
        <v>1872278.33</v>
      </c>
      <c r="D27" s="414">
        <f>Projeções!F133-Projeções!F138-Projeções!F143-Projeções!F148</f>
        <v>387024.9877380953</v>
      </c>
      <c r="E27" s="414">
        <f>Projeções!G133-Projeções!G138-Projeções!G143-Projeções!G148</f>
        <v>733000</v>
      </c>
      <c r="F27" s="414">
        <f>Projeções!H133-Projeções!H138-Projeções!H143-Projeções!H148</f>
        <v>-708702.86448924</v>
      </c>
      <c r="G27" s="414">
        <f>Projeções!I133-Projeções!I138-Projeções!I143-Projeções!I148</f>
        <v>-3213704.1670575016</v>
      </c>
    </row>
    <row r="28" spans="1:7" ht="15">
      <c r="A28" s="358" t="s">
        <v>541</v>
      </c>
      <c r="B28" s="413">
        <f>Projeções!D140</f>
        <v>0</v>
      </c>
      <c r="C28" s="413">
        <f>Projeções!E140</f>
        <v>0</v>
      </c>
      <c r="D28" s="413">
        <f>Projeções!F140</f>
        <v>0</v>
      </c>
      <c r="E28" s="413">
        <f>Projeções!G140</f>
        <v>0</v>
      </c>
      <c r="F28" s="413">
        <f>Projeções!H140</f>
        <v>0</v>
      </c>
      <c r="G28" s="413">
        <f>Projeções!I140</f>
        <v>0</v>
      </c>
    </row>
    <row r="29" spans="1:7" ht="15">
      <c r="A29" s="358" t="s">
        <v>620</v>
      </c>
      <c r="B29" s="413"/>
      <c r="C29" s="413"/>
      <c r="D29" s="413"/>
      <c r="E29" s="413"/>
      <c r="F29" s="413"/>
      <c r="G29" s="413"/>
    </row>
    <row r="30" spans="1:7" ht="15">
      <c r="A30" s="358" t="s">
        <v>542</v>
      </c>
      <c r="B30" s="413"/>
      <c r="C30" s="413"/>
      <c r="D30" s="413"/>
      <c r="E30" s="413"/>
      <c r="F30" s="413"/>
      <c r="G30" s="413"/>
    </row>
    <row r="31" spans="1:7" ht="15">
      <c r="A31" s="358" t="s">
        <v>543</v>
      </c>
      <c r="B31" s="413">
        <f>Projeções!D144-Projeções!D148</f>
        <v>23386.04</v>
      </c>
      <c r="C31" s="413">
        <f>Projeções!E144-Projeções!E148</f>
        <v>17909.82</v>
      </c>
      <c r="D31" s="413">
        <f>Projeções!F144-Projeções!F148</f>
        <v>168.2677380952381</v>
      </c>
      <c r="E31" s="413">
        <f>Projeções!G144-Projeções!G148</f>
        <v>152300</v>
      </c>
      <c r="F31" s="413">
        <f>Projeções!H144-Projeções!H148</f>
        <v>157523.89</v>
      </c>
      <c r="G31" s="413">
        <f>Projeções!I144-Projeções!I148</f>
        <v>162753.683148</v>
      </c>
    </row>
    <row r="32" spans="1:7" ht="15">
      <c r="A32" s="357" t="s">
        <v>548</v>
      </c>
      <c r="B32" s="414">
        <f aca="true" t="shared" si="4" ref="B32:G32">B27-B28-B29-B30-B31</f>
        <v>467534.85</v>
      </c>
      <c r="C32" s="414">
        <f t="shared" si="4"/>
        <v>1854368.51</v>
      </c>
      <c r="D32" s="414">
        <f t="shared" si="4"/>
        <v>386856.72000000003</v>
      </c>
      <c r="E32" s="414">
        <f t="shared" si="4"/>
        <v>580700</v>
      </c>
      <c r="F32" s="414">
        <f t="shared" si="4"/>
        <v>-866226.75448924</v>
      </c>
      <c r="G32" s="414">
        <f t="shared" si="4"/>
        <v>-3376457.8502055015</v>
      </c>
    </row>
    <row r="33" spans="1:7" ht="15">
      <c r="A33" s="360" t="s">
        <v>549</v>
      </c>
      <c r="B33" s="415">
        <f aca="true" t="shared" si="5" ref="B33:G33">B25+B32</f>
        <v>17189677.49</v>
      </c>
      <c r="C33" s="415">
        <f t="shared" si="5"/>
        <v>19201015.830000002</v>
      </c>
      <c r="D33" s="415">
        <f t="shared" si="5"/>
        <v>19353173.785714284</v>
      </c>
      <c r="E33" s="415">
        <f t="shared" si="5"/>
        <v>22284951</v>
      </c>
      <c r="F33" s="415">
        <f t="shared" si="5"/>
        <v>22775130.72110461</v>
      </c>
      <c r="G33" s="415">
        <f t="shared" si="5"/>
        <v>22944953.294702448</v>
      </c>
    </row>
    <row r="35" spans="1:7" ht="15">
      <c r="A35" s="374" t="s">
        <v>552</v>
      </c>
      <c r="B35" s="375">
        <f aca="true" t="shared" si="6" ref="B35:G35">B19-B33</f>
        <v>1504241.898000002</v>
      </c>
      <c r="C35" s="375">
        <f t="shared" si="6"/>
        <v>2198515.2319999933</v>
      </c>
      <c r="D35" s="375">
        <f t="shared" si="6"/>
        <v>3004693.265142858</v>
      </c>
      <c r="E35" s="375">
        <f t="shared" si="6"/>
        <v>747109</v>
      </c>
      <c r="F35" s="375">
        <f t="shared" si="6"/>
        <v>942700.3767648786</v>
      </c>
      <c r="G35" s="375">
        <f t="shared" si="6"/>
        <v>2162074.7800748907</v>
      </c>
    </row>
    <row r="37" spans="1:7" ht="15">
      <c r="A37" s="532" t="s">
        <v>553</v>
      </c>
      <c r="B37" s="352">
        <f>B21</f>
        <v>2019</v>
      </c>
      <c r="C37" s="352">
        <f>B37+1</f>
        <v>2020</v>
      </c>
      <c r="D37" s="352">
        <f>C37+1</f>
        <v>2021</v>
      </c>
      <c r="E37" s="352">
        <f>D37+1</f>
        <v>2022</v>
      </c>
      <c r="F37" s="352">
        <f>E37+1</f>
        <v>2023</v>
      </c>
      <c r="G37" s="352">
        <f>F37+1</f>
        <v>2024</v>
      </c>
    </row>
    <row r="38" spans="1:7" ht="15.75" thickBot="1">
      <c r="A38" s="532"/>
      <c r="B38" s="352" t="s">
        <v>128</v>
      </c>
      <c r="C38" s="352" t="s">
        <v>128</v>
      </c>
      <c r="D38" s="353" t="s">
        <v>128</v>
      </c>
      <c r="E38" s="353" t="s">
        <v>514</v>
      </c>
      <c r="F38" s="353" t="s">
        <v>514</v>
      </c>
      <c r="G38" s="353" t="s">
        <v>514</v>
      </c>
    </row>
    <row r="39" spans="1:7" ht="30.75" thickBot="1">
      <c r="A39" s="361" t="s">
        <v>554</v>
      </c>
      <c r="B39" s="359">
        <v>0</v>
      </c>
      <c r="C39" s="359">
        <v>0</v>
      </c>
      <c r="D39" s="359">
        <v>0</v>
      </c>
      <c r="E39" s="413">
        <f>((B39+C39+D39)/3)*(1+Parâmetros!E21)</f>
        <v>0</v>
      </c>
      <c r="F39" s="413">
        <f>((C39+D39+E39)/3)*(1+Parâmetros!F21)</f>
        <v>0</v>
      </c>
      <c r="G39" s="413">
        <f>((D39+E39+F39)/3)*(1+Parâmetros!G21)</f>
        <v>0</v>
      </c>
    </row>
    <row r="40" spans="1:7" ht="30.75" thickBot="1">
      <c r="A40" s="362" t="s">
        <v>555</v>
      </c>
      <c r="B40" s="359">
        <v>0</v>
      </c>
      <c r="C40" s="359">
        <v>0</v>
      </c>
      <c r="D40" s="359">
        <v>0</v>
      </c>
      <c r="E40" s="413">
        <f>((B40+C40+D40)/3)*(1+Parâmetros!E21)</f>
        <v>0</v>
      </c>
      <c r="F40" s="413">
        <f>((C40+D40+E40)/3)*(1+Parâmetros!F21)</f>
        <v>0</v>
      </c>
      <c r="G40" s="413">
        <f>((D40+E40+F40)/3)*(1+Parâmetros!G21)</f>
        <v>0</v>
      </c>
    </row>
    <row r="41" spans="1:7" ht="30.75" thickBot="1">
      <c r="A41" s="362" t="s">
        <v>556</v>
      </c>
      <c r="B41" s="359">
        <v>0</v>
      </c>
      <c r="C41" s="359">
        <v>0</v>
      </c>
      <c r="D41" s="359">
        <v>0</v>
      </c>
      <c r="E41" s="413">
        <f>((B41+C41+D41)/3)*(1+Parâmetros!E21)</f>
        <v>0</v>
      </c>
      <c r="F41" s="413">
        <f>((C41+D41+E41)/3)*(1+Parâmetros!F21)</f>
        <v>0</v>
      </c>
      <c r="G41" s="413">
        <f>((D41+E41+F41)/3)*(1+Parâmetros!G21)</f>
        <v>0</v>
      </c>
    </row>
    <row r="42" spans="1:7" ht="30.75" thickBot="1">
      <c r="A42" s="362" t="s">
        <v>557</v>
      </c>
      <c r="B42" s="359">
        <v>0</v>
      </c>
      <c r="C42" s="359">
        <v>0</v>
      </c>
      <c r="D42" s="359">
        <v>0</v>
      </c>
      <c r="E42" s="413">
        <f>((B42+C42+D42)/3)*(1+Parâmetros!E21)</f>
        <v>0</v>
      </c>
      <c r="F42" s="413">
        <f>((C42+D42+E42)/3)*(1+Parâmetros!F21)</f>
        <v>0</v>
      </c>
      <c r="G42" s="413">
        <f>((D42+E42+F42)/3)*(1+Parâmetros!G21)</f>
        <v>0</v>
      </c>
    </row>
    <row r="43" spans="1:7" ht="30.75" thickBot="1">
      <c r="A43" s="362" t="s">
        <v>558</v>
      </c>
      <c r="B43" s="359">
        <v>0</v>
      </c>
      <c r="C43" s="359">
        <v>0</v>
      </c>
      <c r="D43" s="359">
        <v>0</v>
      </c>
      <c r="E43" s="413">
        <f>((B43+C43+D43)/3)*(1+Parâmetros!E21)</f>
        <v>0</v>
      </c>
      <c r="F43" s="413">
        <f>((C43+D43+E43)/3)*(1+Parâmetros!F21)</f>
        <v>0</v>
      </c>
      <c r="G43" s="413">
        <f>((D43+E43+F43)/3)*(1+Parâmetros!G21)</f>
        <v>0</v>
      </c>
    </row>
    <row r="44" spans="1:7" ht="30.75" thickBot="1">
      <c r="A44" s="362" t="s">
        <v>559</v>
      </c>
      <c r="B44" s="359">
        <v>0</v>
      </c>
      <c r="C44" s="359">
        <v>0</v>
      </c>
      <c r="D44" s="359">
        <v>0</v>
      </c>
      <c r="E44" s="413">
        <f>((B44+C44+D44)/3)*(1+Parâmetros!E21)</f>
        <v>0</v>
      </c>
      <c r="F44" s="413">
        <f>((C44+D44+E44)/3)*(1+Parâmetros!F21)</f>
        <v>0</v>
      </c>
      <c r="G44" s="413">
        <f>((D44+E44+F44)/3)*(1+Parâmetros!G21)</f>
        <v>0</v>
      </c>
    </row>
    <row r="45" spans="1:7" ht="30.75" thickBot="1">
      <c r="A45" s="362" t="s">
        <v>560</v>
      </c>
      <c r="B45" s="359">
        <v>0</v>
      </c>
      <c r="C45" s="359">
        <v>0</v>
      </c>
      <c r="D45" s="359">
        <v>0</v>
      </c>
      <c r="E45" s="413">
        <f>((B45+C45+D45)/3)*(1+Parâmetros!E21)</f>
        <v>0</v>
      </c>
      <c r="F45" s="413">
        <f>((C45+D45+E45)/3)*(1+Parâmetros!F21)</f>
        <v>0</v>
      </c>
      <c r="G45" s="413">
        <f>((D45+E45+F45)/3)*(1+Parâmetros!G21)</f>
        <v>0</v>
      </c>
    </row>
    <row r="46" spans="1:7" ht="30.75" thickBot="1">
      <c r="A46" s="362" t="s">
        <v>561</v>
      </c>
      <c r="B46" s="359">
        <v>0</v>
      </c>
      <c r="C46" s="359">
        <v>0</v>
      </c>
      <c r="D46" s="359">
        <v>0</v>
      </c>
      <c r="E46" s="413">
        <f>((B46+C46+D46)/3)*(1+Parâmetros!E21)</f>
        <v>0</v>
      </c>
      <c r="F46" s="413">
        <f>((C46+D46+E46)/3)*(1+Parâmetros!F21)</f>
        <v>0</v>
      </c>
      <c r="G46" s="413">
        <f>((D46+E46+F46)/3)*(1+Parâmetros!G21)</f>
        <v>0</v>
      </c>
    </row>
    <row r="47" spans="1:7" ht="30.75" thickBot="1">
      <c r="A47" s="362" t="s">
        <v>562</v>
      </c>
      <c r="B47" s="359">
        <v>0</v>
      </c>
      <c r="C47" s="359">
        <v>0</v>
      </c>
      <c r="D47" s="359">
        <v>0</v>
      </c>
      <c r="E47" s="413">
        <f>((B47+C47+D47)/3)*(1+Parâmetros!E21)</f>
        <v>0</v>
      </c>
      <c r="F47" s="413">
        <f>((C47+D47+E47)/3)*(1+Parâmetros!F21)</f>
        <v>0</v>
      </c>
      <c r="G47" s="413">
        <f>((D47+E47+F47)/3)*(1+Parâmetros!G21)</f>
        <v>0</v>
      </c>
    </row>
    <row r="48" spans="1:7" ht="30.75" thickBot="1">
      <c r="A48" s="362" t="s">
        <v>563</v>
      </c>
      <c r="B48" s="359">
        <v>0</v>
      </c>
      <c r="C48" s="359">
        <v>0</v>
      </c>
      <c r="D48" s="359">
        <v>0</v>
      </c>
      <c r="E48" s="413">
        <f>((B48+C48+D48)/3)*(1+Parâmetros!E21)</f>
        <v>0</v>
      </c>
      <c r="F48" s="413">
        <f>((C48+D48+E48)/3)*(1+Parâmetros!F21)</f>
        <v>0</v>
      </c>
      <c r="G48" s="413">
        <f>((D48+E48+F48)/3)*(1+Parâmetros!G21)</f>
        <v>0</v>
      </c>
    </row>
    <row r="49" spans="1:7" ht="30.75" thickBot="1">
      <c r="A49" s="362" t="s">
        <v>564</v>
      </c>
      <c r="B49" s="359">
        <v>0</v>
      </c>
      <c r="C49" s="359">
        <v>0</v>
      </c>
      <c r="D49" s="359">
        <v>0</v>
      </c>
      <c r="E49" s="413">
        <f>((B49+C49+D49)/3)*(1+Parâmetros!E21)</f>
        <v>0</v>
      </c>
      <c r="F49" s="413">
        <f>((C49+D49+E49)/3)*(1+Parâmetros!F21)</f>
        <v>0</v>
      </c>
      <c r="G49" s="413">
        <f>((D49+E49+F49)/3)*(1+Parâmetros!G21)</f>
        <v>0</v>
      </c>
    </row>
    <row r="50" spans="1:7" ht="30.75" thickBot="1">
      <c r="A50" s="362" t="s">
        <v>565</v>
      </c>
      <c r="B50" s="359">
        <v>0</v>
      </c>
      <c r="C50" s="359">
        <v>0</v>
      </c>
      <c r="D50" s="359">
        <v>0</v>
      </c>
      <c r="E50" s="413">
        <f>((B50+C50+D50)/3)*(1+Parâmetros!E21)</f>
        <v>0</v>
      </c>
      <c r="F50" s="413">
        <f>((C50+D50+E50)/3)*(1+Parâmetros!F21)</f>
        <v>0</v>
      </c>
      <c r="G50" s="413">
        <f>((D50+E50+F50)/3)*(1+Parâmetros!G21)</f>
        <v>0</v>
      </c>
    </row>
    <row r="51" spans="1:7" ht="30.75" thickBot="1">
      <c r="A51" s="362" t="s">
        <v>566</v>
      </c>
      <c r="B51" s="359">
        <v>0</v>
      </c>
      <c r="C51" s="359">
        <v>0</v>
      </c>
      <c r="D51" s="359">
        <v>0</v>
      </c>
      <c r="E51" s="413">
        <f>((B51+C51+D51)/3)*(1+Parâmetros!E21)</f>
        <v>0</v>
      </c>
      <c r="F51" s="413">
        <f>((C51+D51+E51)/3)*(1+Parâmetros!F21)</f>
        <v>0</v>
      </c>
      <c r="G51" s="413">
        <f>((D51+E51+F51)/3)*(1+Parâmetros!G21)</f>
        <v>0</v>
      </c>
    </row>
    <row r="52" spans="1:7" ht="30.75" thickBot="1">
      <c r="A52" s="362" t="s">
        <v>567</v>
      </c>
      <c r="B52" s="359">
        <v>0</v>
      </c>
      <c r="C52" s="359">
        <v>0</v>
      </c>
      <c r="D52" s="359">
        <v>0</v>
      </c>
      <c r="E52" s="413">
        <f>((B52+C52+D52)/3)*(1+Parâmetros!E21)</f>
        <v>0</v>
      </c>
      <c r="F52" s="413">
        <f>((C52+D52+E52)/3)*(1+Parâmetros!F21)</f>
        <v>0</v>
      </c>
      <c r="G52" s="413">
        <f>((D52+E52+F52)/3)*(1+Parâmetros!G21)</f>
        <v>0</v>
      </c>
    </row>
    <row r="53" spans="1:7" ht="30.75" thickBot="1">
      <c r="A53" s="362" t="s">
        <v>568</v>
      </c>
      <c r="B53" s="359"/>
      <c r="C53" s="359">
        <v>0</v>
      </c>
      <c r="D53" s="359">
        <v>0</v>
      </c>
      <c r="E53" s="413">
        <f>((B53+C53+D53)/3)*(1+Parâmetros!E21)</f>
        <v>0</v>
      </c>
      <c r="F53" s="413">
        <f>((C53+D53+E53)/3)*(1+Parâmetros!F21)</f>
        <v>0</v>
      </c>
      <c r="G53" s="413">
        <f>((D53+E53+F53)/3)*(1+Parâmetros!G21)</f>
        <v>0</v>
      </c>
    </row>
    <row r="54" spans="1:7" ht="15.75" thickBot="1">
      <c r="A54" s="362" t="s">
        <v>569</v>
      </c>
      <c r="B54" s="359">
        <v>60411.06</v>
      </c>
      <c r="C54" s="359">
        <v>57180.02</v>
      </c>
      <c r="D54" s="359">
        <v>12404.12</v>
      </c>
      <c r="E54" s="413">
        <f>((B54+C54+D54)/3)*(1+Parâmetros!E21)</f>
        <v>44350.02906666667</v>
      </c>
      <c r="F54" s="413">
        <f>((C54+D54+E54)/3)*(1+Parâmetros!F21)</f>
        <v>39633.899612657784</v>
      </c>
      <c r="G54" s="413">
        <f>((D54+E54+F54)/3)*(1+Parâmetros!G21)</f>
        <v>33877.186175826566</v>
      </c>
    </row>
    <row r="55" spans="1:7" ht="30">
      <c r="A55" s="363" t="s">
        <v>570</v>
      </c>
      <c r="B55" s="359">
        <v>0</v>
      </c>
      <c r="C55" s="359">
        <v>0</v>
      </c>
      <c r="D55" s="359">
        <v>0</v>
      </c>
      <c r="E55" s="413">
        <f>((B55+C55+D55)/3)*(1+Parâmetros!E21)</f>
        <v>0</v>
      </c>
      <c r="F55" s="413">
        <f>((C55+D55+E55)/3)*(1+Parâmetros!F21)</f>
        <v>0</v>
      </c>
      <c r="G55" s="413">
        <f>((D55+E55+F55)/3)*(1+Parâmetros!G21)</f>
        <v>0</v>
      </c>
    </row>
    <row r="56" spans="1:7" ht="15">
      <c r="A56" s="370" t="s">
        <v>571</v>
      </c>
      <c r="B56" s="371">
        <f aca="true" t="shared" si="7" ref="B56:G56">SUM(B39:B55)</f>
        <v>60411.06</v>
      </c>
      <c r="C56" s="371">
        <f t="shared" si="7"/>
        <v>57180.02</v>
      </c>
      <c r="D56" s="371">
        <f t="shared" si="7"/>
        <v>12404.12</v>
      </c>
      <c r="E56" s="371">
        <f t="shared" si="7"/>
        <v>44350.02906666667</v>
      </c>
      <c r="F56" s="371">
        <f t="shared" si="7"/>
        <v>39633.899612657784</v>
      </c>
      <c r="G56" s="371">
        <f t="shared" si="7"/>
        <v>33877.186175826566</v>
      </c>
    </row>
    <row r="58" spans="1:7" ht="15">
      <c r="A58" s="532" t="s">
        <v>572</v>
      </c>
      <c r="B58" s="352">
        <f>B37</f>
        <v>2019</v>
      </c>
      <c r="C58" s="352">
        <f>B58+1</f>
        <v>2020</v>
      </c>
      <c r="D58" s="352">
        <f>C58+1</f>
        <v>2021</v>
      </c>
      <c r="E58" s="352">
        <f>D58+1</f>
        <v>2022</v>
      </c>
      <c r="F58" s="352">
        <f>E58+1</f>
        <v>2023</v>
      </c>
      <c r="G58" s="352">
        <f>F58+1</f>
        <v>2024</v>
      </c>
    </row>
    <row r="59" spans="1:7" ht="15.75" thickBot="1">
      <c r="A59" s="532"/>
      <c r="B59" s="352" t="s">
        <v>128</v>
      </c>
      <c r="C59" s="352" t="s">
        <v>128</v>
      </c>
      <c r="D59" s="353" t="s">
        <v>128</v>
      </c>
      <c r="E59" s="353" t="s">
        <v>514</v>
      </c>
      <c r="F59" s="353" t="s">
        <v>514</v>
      </c>
      <c r="G59" s="353" t="s">
        <v>514</v>
      </c>
    </row>
    <row r="60" spans="1:7" ht="30.75" thickBot="1">
      <c r="A60" s="372" t="s">
        <v>574</v>
      </c>
      <c r="B60" s="359">
        <v>0</v>
      </c>
      <c r="C60" s="359">
        <v>8915.64</v>
      </c>
      <c r="D60" s="359">
        <v>78411.66</v>
      </c>
      <c r="E60" s="413">
        <f>((B60+C60+D60)/3)*(1+Parâmetros!E21)</f>
        <v>29793.163850000004</v>
      </c>
      <c r="F60" s="413">
        <f>((C60+D60+E60)/3)*(1+Parâmetros!F21)</f>
        <v>40742.30535795334</v>
      </c>
      <c r="G60" s="413">
        <f>((D60+E60+F60)/3)*(1+Parâmetros!G21)</f>
        <v>52349.95101228867</v>
      </c>
    </row>
    <row r="61" spans="1:7" ht="30.75" thickBot="1">
      <c r="A61" s="373" t="s">
        <v>575</v>
      </c>
      <c r="B61" s="359">
        <v>0</v>
      </c>
      <c r="C61" s="359">
        <v>0</v>
      </c>
      <c r="D61" s="359">
        <v>0</v>
      </c>
      <c r="E61" s="413">
        <f>((B61+C61+D61)/3)*(1+Parâmetros!E21)</f>
        <v>0</v>
      </c>
      <c r="F61" s="413">
        <f>((C61+D61+E61)/3)*(1+Parâmetros!F21)</f>
        <v>0</v>
      </c>
      <c r="G61" s="413">
        <f>((D61+E61+F61)/3)*(1+Parâmetros!G21)</f>
        <v>0</v>
      </c>
    </row>
    <row r="62" spans="1:7" ht="30.75" thickBot="1">
      <c r="A62" s="373" t="s">
        <v>576</v>
      </c>
      <c r="B62" s="359">
        <v>0</v>
      </c>
      <c r="C62" s="359">
        <v>0</v>
      </c>
      <c r="D62" s="359">
        <v>0</v>
      </c>
      <c r="E62" s="413">
        <f>((B62+C62+D62)/3)*(1+Parâmetros!E21)</f>
        <v>0</v>
      </c>
      <c r="F62" s="413">
        <f>((C62+D62+E62)/3)*(1+Parâmetros!F21)</f>
        <v>0</v>
      </c>
      <c r="G62" s="413">
        <f>((D62+E62+F62)/3)*(1+Parâmetros!G21)</f>
        <v>0</v>
      </c>
    </row>
    <row r="63" spans="1:7" ht="30.75" thickBot="1">
      <c r="A63" s="373" t="s">
        <v>577</v>
      </c>
      <c r="B63" s="359">
        <v>0</v>
      </c>
      <c r="C63" s="359">
        <v>0</v>
      </c>
      <c r="D63" s="359">
        <v>0</v>
      </c>
      <c r="E63" s="413">
        <f>((B63+C63+D63)/3)*(1+Parâmetros!E21)</f>
        <v>0</v>
      </c>
      <c r="F63" s="413">
        <f>((C63+D63+E63)/3)*(1+Parâmetros!F21)</f>
        <v>0</v>
      </c>
      <c r="G63" s="413">
        <f>((D63+E63+F63)/3)*(1+Parâmetros!G21)</f>
        <v>0</v>
      </c>
    </row>
    <row r="64" spans="1:7" ht="30.75" thickBot="1">
      <c r="A64" s="373" t="s">
        <v>578</v>
      </c>
      <c r="B64" s="359">
        <v>0</v>
      </c>
      <c r="C64" s="359">
        <v>0</v>
      </c>
      <c r="D64" s="359">
        <v>0</v>
      </c>
      <c r="E64" s="413">
        <f>((B64+C64+D64)/3)*(1+Parâmetros!E21)</f>
        <v>0</v>
      </c>
      <c r="F64" s="413">
        <f>((C64+D64+E64)/3)*(1+Parâmetros!F21)</f>
        <v>0</v>
      </c>
      <c r="G64" s="413">
        <f>((D64+E64+F64)/3)*(1+Parâmetros!G21)</f>
        <v>0</v>
      </c>
    </row>
    <row r="65" spans="1:7" ht="15.75" thickBot="1">
      <c r="A65" s="373" t="s">
        <v>579</v>
      </c>
      <c r="B65" s="359">
        <v>0</v>
      </c>
      <c r="C65" s="359">
        <v>0</v>
      </c>
      <c r="D65" s="359">
        <v>0</v>
      </c>
      <c r="E65" s="413">
        <f>((B65+C65+D65)/3)*(1+Parâmetros!E21)</f>
        <v>0</v>
      </c>
      <c r="F65" s="413">
        <f>((C65+D65+E65)/3)*(1+Parâmetros!F21)</f>
        <v>0</v>
      </c>
      <c r="G65" s="413">
        <f>((D65+E65+F65)/3)*(1+Parâmetros!G21)</f>
        <v>0</v>
      </c>
    </row>
    <row r="66" spans="1:7" ht="30.75" thickBot="1">
      <c r="A66" s="373" t="s">
        <v>580</v>
      </c>
      <c r="B66" s="359">
        <v>0</v>
      </c>
      <c r="C66" s="359">
        <v>0</v>
      </c>
      <c r="D66" s="359">
        <v>0</v>
      </c>
      <c r="E66" s="413">
        <f>((B66+C66+D66)/3)*(1+Parâmetros!E21)</f>
        <v>0</v>
      </c>
      <c r="F66" s="413">
        <f>((C66+D66+E66)/3)*(1+Parâmetros!F21)</f>
        <v>0</v>
      </c>
      <c r="G66" s="413">
        <f>((D66+E66+F66)/3)*(1+Parâmetros!G21)</f>
        <v>0</v>
      </c>
    </row>
    <row r="67" spans="1:7" ht="30.75" thickBot="1">
      <c r="A67" s="373" t="s">
        <v>581</v>
      </c>
      <c r="B67" s="359">
        <v>0</v>
      </c>
      <c r="C67" s="359">
        <v>0</v>
      </c>
      <c r="D67" s="359">
        <v>0</v>
      </c>
      <c r="E67" s="413">
        <f>((B67+C67+D67)/3)*(1+Parâmetros!E21)</f>
        <v>0</v>
      </c>
      <c r="F67" s="413">
        <f>((C67+D67+E67)/3)*(1+Parâmetros!F21)</f>
        <v>0</v>
      </c>
      <c r="G67" s="413">
        <f>((D67+E67+F67)/3)*(1+Parâmetros!G21)</f>
        <v>0</v>
      </c>
    </row>
    <row r="68" spans="1:7" ht="30.75" thickBot="1">
      <c r="A68" s="373" t="s">
        <v>582</v>
      </c>
      <c r="B68" s="359">
        <v>0</v>
      </c>
      <c r="C68" s="359">
        <v>0</v>
      </c>
      <c r="D68" s="359">
        <v>0</v>
      </c>
      <c r="E68" s="413">
        <f>((B68+C68+D68)/3)*(1+Parâmetros!E21)</f>
        <v>0</v>
      </c>
      <c r="F68" s="413">
        <f>((C68+D68+E68)/3)*(1+Parâmetros!F21)</f>
        <v>0</v>
      </c>
      <c r="G68" s="413">
        <f>((D68+E68+F68)/3)*(1+Parâmetros!G21)</f>
        <v>0</v>
      </c>
    </row>
    <row r="69" spans="1:7" ht="30.75" thickBot="1">
      <c r="A69" s="373" t="s">
        <v>583</v>
      </c>
      <c r="B69" s="359">
        <v>0</v>
      </c>
      <c r="C69" s="359">
        <v>0</v>
      </c>
      <c r="D69" s="359">
        <v>0</v>
      </c>
      <c r="E69" s="413">
        <f>((B69+C69+D69)/3)*(1+Parâmetros!E21)</f>
        <v>0</v>
      </c>
      <c r="F69" s="413">
        <f>((C69+D69+E69)/3)*(1+Parâmetros!F21)</f>
        <v>0</v>
      </c>
      <c r="G69" s="413">
        <f>((D69+E69+F69)/3)*(1+Parâmetros!G21)</f>
        <v>0</v>
      </c>
    </row>
    <row r="70" spans="1:7" ht="30.75" thickBot="1">
      <c r="A70" s="373" t="s">
        <v>584</v>
      </c>
      <c r="B70" s="359">
        <v>0</v>
      </c>
      <c r="C70" s="359">
        <v>0</v>
      </c>
      <c r="D70" s="359">
        <v>0</v>
      </c>
      <c r="E70" s="413">
        <f>((B70+C70+D70)/3)*(1+Parâmetros!E21)</f>
        <v>0</v>
      </c>
      <c r="F70" s="413">
        <f>((C70+D70+E70)/3)*(1+Parâmetros!F21)</f>
        <v>0</v>
      </c>
      <c r="G70" s="413">
        <f>((D70+E70+F70)/3)*(1+Parâmetros!G21)</f>
        <v>0</v>
      </c>
    </row>
    <row r="71" spans="1:7" ht="30.75" thickBot="1">
      <c r="A71" s="373" t="s">
        <v>585</v>
      </c>
      <c r="B71" s="359">
        <v>0</v>
      </c>
      <c r="C71" s="359">
        <v>0</v>
      </c>
      <c r="D71" s="359">
        <v>0</v>
      </c>
      <c r="E71" s="413">
        <f>((B71+C71+D71)/3)*(1+Parâmetros!E21)</f>
        <v>0</v>
      </c>
      <c r="F71" s="413">
        <f>((C71+D71+E71)/3)*(1+Parâmetros!F21)</f>
        <v>0</v>
      </c>
      <c r="G71" s="413">
        <f>((D71+E71+F71)/3)*(1+Parâmetros!G21)</f>
        <v>0</v>
      </c>
    </row>
    <row r="72" spans="1:7" ht="30.75" thickBot="1">
      <c r="A72" s="373" t="s">
        <v>586</v>
      </c>
      <c r="B72" s="359">
        <v>0</v>
      </c>
      <c r="C72" s="359">
        <v>0</v>
      </c>
      <c r="D72" s="359">
        <v>0</v>
      </c>
      <c r="E72" s="413">
        <f>((B72+C72+D72)/3)*(1+Parâmetros!E21)</f>
        <v>0</v>
      </c>
      <c r="F72" s="413">
        <f>((C72+D72+E72)/3)*(1+Parâmetros!F21)</f>
        <v>0</v>
      </c>
      <c r="G72" s="413">
        <f>((D72+E72+F72)/3)*(1+Parâmetros!G21)</f>
        <v>0</v>
      </c>
    </row>
    <row r="73" spans="1:7" ht="30.75" thickBot="1">
      <c r="A73" s="373" t="s">
        <v>587</v>
      </c>
      <c r="B73" s="359">
        <v>0</v>
      </c>
      <c r="C73" s="359">
        <v>0</v>
      </c>
      <c r="D73" s="359">
        <v>0</v>
      </c>
      <c r="E73" s="413">
        <f>((B73+C73+D73)/3)*(1+Parâmetros!E21)</f>
        <v>0</v>
      </c>
      <c r="F73" s="413">
        <f>((C73+D73+E73)/3)*(1+Parâmetros!F21)</f>
        <v>0</v>
      </c>
      <c r="G73" s="413">
        <f>((D73+E73+F73)/3)*(1+Parâmetros!G21)</f>
        <v>0</v>
      </c>
    </row>
    <row r="74" spans="1:7" ht="30.75" thickBot="1">
      <c r="A74" s="373" t="s">
        <v>588</v>
      </c>
      <c r="B74" s="359">
        <v>0</v>
      </c>
      <c r="C74" s="359">
        <v>0</v>
      </c>
      <c r="D74" s="359">
        <v>0</v>
      </c>
      <c r="E74" s="413">
        <f>((B74+C74+D74)/3)*(1+Parâmetros!E21)</f>
        <v>0</v>
      </c>
      <c r="F74" s="413">
        <f>((C74+D74+E74)/3)*(1+Parâmetros!F21)</f>
        <v>0</v>
      </c>
      <c r="G74" s="413">
        <f>((D74+E74+F74)/3)*(1+Parâmetros!G21)</f>
        <v>0</v>
      </c>
    </row>
    <row r="75" spans="1:7" ht="30.75" thickBot="1">
      <c r="A75" s="373" t="s">
        <v>589</v>
      </c>
      <c r="B75" s="359">
        <v>0</v>
      </c>
      <c r="C75" s="359">
        <v>0</v>
      </c>
      <c r="D75" s="359">
        <v>0</v>
      </c>
      <c r="E75" s="413">
        <f>((B75+C75+D75)/3)*(1+Parâmetros!E21)</f>
        <v>0</v>
      </c>
      <c r="F75" s="413">
        <f>((C75+D75+E75)/3)*(1+Parâmetros!F21)</f>
        <v>0</v>
      </c>
      <c r="G75" s="413">
        <f>((D75+E75+F75)/3)*(1+Parâmetros!G21)</f>
        <v>0</v>
      </c>
    </row>
    <row r="76" spans="1:7" ht="30.75" thickBot="1">
      <c r="A76" s="373" t="s">
        <v>590</v>
      </c>
      <c r="B76" s="359">
        <v>0</v>
      </c>
      <c r="C76" s="359">
        <v>0</v>
      </c>
      <c r="D76" s="359">
        <v>0</v>
      </c>
      <c r="E76" s="413">
        <f>((B76+C76+D76)/3)*(1+Parâmetros!E21)</f>
        <v>0</v>
      </c>
      <c r="F76" s="413">
        <f>((C76+D76+E76)/3)*(1+Parâmetros!F21)</f>
        <v>0</v>
      </c>
      <c r="G76" s="413">
        <f>((D76+E76+F76)/3)*(1+Parâmetros!G21)</f>
        <v>0</v>
      </c>
    </row>
    <row r="77" spans="1:7" ht="15">
      <c r="A77" s="370" t="s">
        <v>573</v>
      </c>
      <c r="B77" s="371">
        <f aca="true" t="shared" si="8" ref="B77:G77">SUM(B60:B76)</f>
        <v>0</v>
      </c>
      <c r="C77" s="371">
        <f t="shared" si="8"/>
        <v>8915.64</v>
      </c>
      <c r="D77" s="371">
        <f t="shared" si="8"/>
        <v>78411.66</v>
      </c>
      <c r="E77" s="371">
        <f t="shared" si="8"/>
        <v>29793.163850000004</v>
      </c>
      <c r="F77" s="371">
        <f t="shared" si="8"/>
        <v>40742.30535795334</v>
      </c>
      <c r="G77" s="371">
        <f t="shared" si="8"/>
        <v>52349.95101228867</v>
      </c>
    </row>
    <row r="79" spans="1:7" ht="15">
      <c r="A79" s="374" t="s">
        <v>591</v>
      </c>
      <c r="B79" s="375">
        <f aca="true" t="shared" si="9" ref="B79:G79">B35+B56-B77</f>
        <v>1564652.958000002</v>
      </c>
      <c r="C79" s="375">
        <f t="shared" si="9"/>
        <v>2246779.611999993</v>
      </c>
      <c r="D79" s="375">
        <f t="shared" si="9"/>
        <v>2938685.725142858</v>
      </c>
      <c r="E79" s="375">
        <f t="shared" si="9"/>
        <v>761665.8652166667</v>
      </c>
      <c r="F79" s="375">
        <f t="shared" si="9"/>
        <v>941591.971019583</v>
      </c>
      <c r="G79" s="375">
        <f t="shared" si="9"/>
        <v>2143602.0152384285</v>
      </c>
    </row>
  </sheetData>
  <sheetProtection/>
  <mergeCells count="7">
    <mergeCell ref="A58:A59"/>
    <mergeCell ref="A1:I1"/>
    <mergeCell ref="A2:I2"/>
    <mergeCell ref="A3:I3"/>
    <mergeCell ref="A5:A6"/>
    <mergeCell ref="A21:A22"/>
    <mergeCell ref="A37:A38"/>
  </mergeCells>
  <printOptions/>
  <pageMargins left="0.5118110236220472" right="0.5118110236220472" top="0.7874015748031497" bottom="0.7874015748031497" header="0.31496062992125984" footer="0.31496062992125984"/>
  <pageSetup fitToHeight="2"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codeName="Plan11">
    <tabColor rgb="FFFFFF00"/>
  </sheetPr>
  <dimension ref="A1:M22"/>
  <sheetViews>
    <sheetView view="pageBreakPreview" zoomScaleNormal="80" zoomScaleSheetLayoutView="100" workbookViewId="0" topLeftCell="A1">
      <selection activeCell="A4" sqref="A4:M4"/>
    </sheetView>
  </sheetViews>
  <sheetFormatPr defaultColWidth="9.140625" defaultRowHeight="12.75"/>
  <cols>
    <col min="1" max="1" width="37.8515625" style="110" customWidth="1"/>
    <col min="2" max="2" width="16.00390625" style="110" customWidth="1"/>
    <col min="3" max="3" width="14.7109375" style="110" customWidth="1"/>
    <col min="4" max="4" width="7.28125" style="110" customWidth="1"/>
    <col min="5" max="5" width="9.7109375" style="110" customWidth="1"/>
    <col min="6" max="6" width="15.421875" style="110" customWidth="1"/>
    <col min="7" max="7" width="14.00390625" style="110" customWidth="1"/>
    <col min="8" max="8" width="7.28125" style="110" customWidth="1"/>
    <col min="9" max="9" width="8.57421875" style="110" customWidth="1"/>
    <col min="10" max="10" width="14.57421875" style="110" customWidth="1"/>
    <col min="11" max="11" width="14.8515625" style="110" customWidth="1"/>
    <col min="12" max="12" width="5.28125" style="110" customWidth="1"/>
    <col min="13" max="13" width="8.7109375" style="110" customWidth="1"/>
    <col min="14" max="16384" width="9.140625" style="110" customWidth="1"/>
  </cols>
  <sheetData>
    <row r="1" spans="1:13" ht="12.75">
      <c r="A1" s="537" t="str">
        <f>Parâmetros!A7</f>
        <v>Município de : Tavares</v>
      </c>
      <c r="B1" s="538"/>
      <c r="C1" s="538"/>
      <c r="D1" s="538"/>
      <c r="E1" s="538"/>
      <c r="F1" s="538"/>
      <c r="G1" s="538"/>
      <c r="H1" s="538"/>
      <c r="I1" s="538"/>
      <c r="J1" s="538"/>
      <c r="K1" s="538"/>
      <c r="L1" s="538"/>
      <c r="M1" s="539"/>
    </row>
    <row r="2" spans="1:13" s="11" customFormat="1" ht="12.75">
      <c r="A2" s="540" t="s">
        <v>704</v>
      </c>
      <c r="B2" s="538"/>
      <c r="C2" s="538"/>
      <c r="D2" s="538"/>
      <c r="E2" s="538"/>
      <c r="F2" s="538"/>
      <c r="G2" s="538"/>
      <c r="H2" s="538"/>
      <c r="I2" s="538"/>
      <c r="J2" s="538"/>
      <c r="K2" s="538"/>
      <c r="L2" s="538"/>
      <c r="M2" s="539"/>
    </row>
    <row r="3" spans="1:13" ht="12.75">
      <c r="A3" s="540" t="s">
        <v>488</v>
      </c>
      <c r="B3" s="538"/>
      <c r="C3" s="538"/>
      <c r="D3" s="538"/>
      <c r="E3" s="538"/>
      <c r="F3" s="538"/>
      <c r="G3" s="538"/>
      <c r="H3" s="538"/>
      <c r="I3" s="538"/>
      <c r="J3" s="538"/>
      <c r="K3" s="538"/>
      <c r="L3" s="538"/>
      <c r="M3" s="539"/>
    </row>
    <row r="4" spans="1:13" ht="12.75">
      <c r="A4" s="541" t="s">
        <v>489</v>
      </c>
      <c r="B4" s="542"/>
      <c r="C4" s="542"/>
      <c r="D4" s="542"/>
      <c r="E4" s="542"/>
      <c r="F4" s="542"/>
      <c r="G4" s="542"/>
      <c r="H4" s="542"/>
      <c r="I4" s="542"/>
      <c r="J4" s="542"/>
      <c r="K4" s="542"/>
      <c r="L4" s="542"/>
      <c r="M4" s="543"/>
    </row>
    <row r="5" spans="1:13" s="11" customFormat="1" ht="17.25" customHeight="1">
      <c r="A5" s="540" t="s">
        <v>686</v>
      </c>
      <c r="B5" s="538"/>
      <c r="C5" s="538"/>
      <c r="D5" s="538"/>
      <c r="E5" s="538"/>
      <c r="F5" s="538"/>
      <c r="G5" s="538"/>
      <c r="H5" s="538"/>
      <c r="I5" s="538"/>
      <c r="J5" s="538"/>
      <c r="K5" s="538"/>
      <c r="L5" s="538"/>
      <c r="M5" s="539"/>
    </row>
    <row r="6" spans="1:13" ht="12.75">
      <c r="A6" s="547" t="s">
        <v>503</v>
      </c>
      <c r="B6" s="548"/>
      <c r="C6" s="548"/>
      <c r="D6" s="549"/>
      <c r="E6" s="343"/>
      <c r="F6" s="557"/>
      <c r="G6" s="557"/>
      <c r="H6" s="557"/>
      <c r="I6" s="343"/>
      <c r="J6" s="561">
        <v>1</v>
      </c>
      <c r="K6" s="562"/>
      <c r="L6" s="562"/>
      <c r="M6" s="562"/>
    </row>
    <row r="7" spans="1:13" s="12" customFormat="1" ht="12.75">
      <c r="A7" s="556" t="s">
        <v>56</v>
      </c>
      <c r="B7" s="564">
        <v>2022</v>
      </c>
      <c r="C7" s="565"/>
      <c r="D7" s="565"/>
      <c r="E7" s="566"/>
      <c r="F7" s="544">
        <f>B7+1</f>
        <v>2023</v>
      </c>
      <c r="G7" s="545"/>
      <c r="H7" s="545"/>
      <c r="I7" s="546"/>
      <c r="J7" s="556">
        <f>F7+1</f>
        <v>2024</v>
      </c>
      <c r="K7" s="556"/>
      <c r="L7" s="556"/>
      <c r="M7" s="556"/>
    </row>
    <row r="8" spans="1:13" ht="15.75" customHeight="1">
      <c r="A8" s="556"/>
      <c r="B8" s="550" t="s">
        <v>389</v>
      </c>
      <c r="C8" s="553" t="s">
        <v>504</v>
      </c>
      <c r="D8" s="202" t="s">
        <v>58</v>
      </c>
      <c r="E8" s="202" t="s">
        <v>390</v>
      </c>
      <c r="F8" s="550" t="s">
        <v>505</v>
      </c>
      <c r="G8" s="553" t="s">
        <v>506</v>
      </c>
      <c r="H8" s="202" t="s">
        <v>58</v>
      </c>
      <c r="I8" s="202" t="s">
        <v>390</v>
      </c>
      <c r="J8" s="550" t="s">
        <v>507</v>
      </c>
      <c r="K8" s="550" t="s">
        <v>506</v>
      </c>
      <c r="L8" s="380" t="s">
        <v>58</v>
      </c>
      <c r="M8" s="202" t="s">
        <v>390</v>
      </c>
    </row>
    <row r="9" spans="1:13" s="11" customFormat="1" ht="15.75" customHeight="1">
      <c r="A9" s="556"/>
      <c r="B9" s="551"/>
      <c r="C9" s="554"/>
      <c r="D9" s="202" t="s">
        <v>61</v>
      </c>
      <c r="E9" s="202" t="s">
        <v>391</v>
      </c>
      <c r="F9" s="551"/>
      <c r="G9" s="554"/>
      <c r="H9" s="202" t="s">
        <v>62</v>
      </c>
      <c r="I9" s="202" t="s">
        <v>408</v>
      </c>
      <c r="J9" s="551"/>
      <c r="K9" s="551"/>
      <c r="L9" s="380" t="s">
        <v>63</v>
      </c>
      <c r="M9" s="202" t="s">
        <v>409</v>
      </c>
    </row>
    <row r="10" spans="1:13" s="11" customFormat="1" ht="15.75" customHeight="1">
      <c r="A10" s="556"/>
      <c r="B10" s="552"/>
      <c r="C10" s="555"/>
      <c r="D10" s="202" t="s">
        <v>65</v>
      </c>
      <c r="E10" s="202" t="s">
        <v>65</v>
      </c>
      <c r="F10" s="552"/>
      <c r="G10" s="555"/>
      <c r="H10" s="202" t="s">
        <v>65</v>
      </c>
      <c r="I10" s="202" t="s">
        <v>65</v>
      </c>
      <c r="J10" s="552"/>
      <c r="K10" s="552"/>
      <c r="L10" s="380" t="s">
        <v>65</v>
      </c>
      <c r="M10" s="202" t="s">
        <v>65</v>
      </c>
    </row>
    <row r="11" spans="1:13" s="11" customFormat="1" ht="12.75">
      <c r="A11" s="381" t="s">
        <v>68</v>
      </c>
      <c r="B11" s="341">
        <f>'RPrim-Nom'!E7+'RPrim-Nom'!E13</f>
        <v>23211300</v>
      </c>
      <c r="C11" s="341">
        <f>B11/(1+Parâmetros!E11)</f>
        <v>22524308.58806405</v>
      </c>
      <c r="D11" s="558" t="s">
        <v>645</v>
      </c>
      <c r="E11" s="382">
        <f>B11/RCL!D14</f>
        <v>0.999332667435893</v>
      </c>
      <c r="F11" s="341">
        <f>'RPrim-Nom'!F7+'RPrim-Nom'!F13</f>
        <v>23788111.87802509</v>
      </c>
      <c r="G11" s="341">
        <f>F11/((1+Parâmetros!E11)*(1+Parâmetros!F11))</f>
        <v>22318523.060786106</v>
      </c>
      <c r="H11" s="558" t="s">
        <v>645</v>
      </c>
      <c r="I11" s="382">
        <f>F11/RCL!E14</f>
        <v>0.9561462268318147</v>
      </c>
      <c r="J11" s="341">
        <f>'RPrim-Nom'!G7+'RPrim-Nom'!G13</f>
        <v>25181350.531880524</v>
      </c>
      <c r="K11" s="341">
        <f>J11/((1+Parâmetros!E11)*(1+Parâmetros!F11)*(1+Parâmetros!G11))</f>
        <v>22866521.30892164</v>
      </c>
      <c r="L11" s="558" t="s">
        <v>646</v>
      </c>
      <c r="M11" s="382">
        <f>J11/RCL!F14</f>
        <v>0.9554172291854626</v>
      </c>
    </row>
    <row r="12" spans="1:13" s="11" customFormat="1" ht="12.75">
      <c r="A12" s="381" t="s">
        <v>121</v>
      </c>
      <c r="B12" s="341">
        <f>'RPrim-Nom'!E19</f>
        <v>23032060</v>
      </c>
      <c r="C12" s="341">
        <f>B12/(1+Parâmetros!E11)</f>
        <v>22350373.605046093</v>
      </c>
      <c r="D12" s="559"/>
      <c r="E12" s="382">
        <f>B12/RCL!D14</f>
        <v>0.9916157197719875</v>
      </c>
      <c r="F12" s="341">
        <f>'RPrim-Nom'!F19</f>
        <v>23717831.09786949</v>
      </c>
      <c r="G12" s="341">
        <f>F12/((1+Parâmetros!E11)*(1+Parâmetros!F11))</f>
        <v>22252584.106880236</v>
      </c>
      <c r="H12" s="559"/>
      <c r="I12" s="382">
        <f>F12/RCL!E14</f>
        <v>0.9533213408926053</v>
      </c>
      <c r="J12" s="341">
        <f>'RPrim-Nom'!G19</f>
        <v>25107028.07477734</v>
      </c>
      <c r="K12" s="341">
        <f>J12/((1+Parâmetros!E11)*(1+Parâmetros!F11)*(1+Parâmetros!G11))</f>
        <v>22799031.042784806</v>
      </c>
      <c r="L12" s="559"/>
      <c r="M12" s="382">
        <f>J12/RCL!F14</f>
        <v>0.952597326577702</v>
      </c>
    </row>
    <row r="13" spans="1:13" s="11" customFormat="1" ht="12.75">
      <c r="A13" s="381" t="s">
        <v>69</v>
      </c>
      <c r="B13" s="341">
        <f>'RPrim-Nom'!E23+'RPrim-Nom'!E27</f>
        <v>22547551</v>
      </c>
      <c r="C13" s="341">
        <f>B13/(1+Parâmetros!E11)</f>
        <v>21880204.754973315</v>
      </c>
      <c r="D13" s="559"/>
      <c r="E13" s="382">
        <f>B13/RCL!D14</f>
        <v>0.9707558079459935</v>
      </c>
      <c r="F13" s="341">
        <f>'RPrim-Nom'!F23+'RPrim-Nom'!F27</f>
        <v>23047763.69110461</v>
      </c>
      <c r="G13" s="341">
        <f>F13/((1+Parâmetros!E11)*(1+Parâmetros!F11))</f>
        <v>21623912.31708686</v>
      </c>
      <c r="H13" s="559"/>
      <c r="I13" s="382">
        <f>F13/RCL!E14</f>
        <v>0.9263884583676554</v>
      </c>
      <c r="J13" s="341">
        <f>'RPrim-Nom'!G23+'RPrim-Nom'!G27</f>
        <v>23229077.991802443</v>
      </c>
      <c r="K13" s="341">
        <f>J13/((1+Parâmetros!E11)*(1+Parâmetros!F11)*(1+Parâmetros!G11))</f>
        <v>21093714.025134377</v>
      </c>
      <c r="L13" s="559"/>
      <c r="M13" s="382">
        <f>J13/RCL!F14</f>
        <v>0.8813451567406265</v>
      </c>
    </row>
    <row r="14" spans="1:13" s="11" customFormat="1" ht="12.75">
      <c r="A14" s="381" t="s">
        <v>122</v>
      </c>
      <c r="B14" s="341">
        <f>'RPrim-Nom'!E33</f>
        <v>22284951</v>
      </c>
      <c r="C14" s="341">
        <f>B14/(1+Parâmetros!E11)</f>
        <v>21625377.001455605</v>
      </c>
      <c r="D14" s="559"/>
      <c r="E14" s="382">
        <f>B14/RCL!D14</f>
        <v>0.9594499026986067</v>
      </c>
      <c r="F14" s="341">
        <f>'RPrim-Nom'!F33</f>
        <v>22775130.72110461</v>
      </c>
      <c r="G14" s="341">
        <f>F14/((1+Parâmetros!E11)*(1+Parâmetros!F11))</f>
        <v>21368122.145118795</v>
      </c>
      <c r="H14" s="559"/>
      <c r="I14" s="382">
        <f>F14/RCL!E14</f>
        <v>0.9154301701726071</v>
      </c>
      <c r="J14" s="341">
        <f>'RPrim-Nom'!G33</f>
        <v>22944953.294702448</v>
      </c>
      <c r="K14" s="341">
        <f>J14/((1+Parâmetros!E11)*(1+Parâmetros!F11)*(1+Parâmetros!G11))</f>
        <v>20835707.86965028</v>
      </c>
      <c r="L14" s="559"/>
      <c r="M14" s="382">
        <f>J14/RCL!F14</f>
        <v>0.8705650506258746</v>
      </c>
    </row>
    <row r="15" spans="1:13" s="11" customFormat="1" ht="12.75">
      <c r="A15" s="381" t="s">
        <v>70</v>
      </c>
      <c r="B15" s="341">
        <f>B12-B14</f>
        <v>747109</v>
      </c>
      <c r="C15" s="341">
        <f>B15/(1+Parâmetros!E11)</f>
        <v>724996.6035904901</v>
      </c>
      <c r="D15" s="559"/>
      <c r="E15" s="382">
        <f>B15/RCL!D14</f>
        <v>0.03216581707338075</v>
      </c>
      <c r="F15" s="341">
        <f>F12-F14</f>
        <v>942700.3767648786</v>
      </c>
      <c r="G15" s="341">
        <f>F15/((1+Parâmetros!E11)*(1+Parâmetros!F11))</f>
        <v>884461.9617614405</v>
      </c>
      <c r="H15" s="559"/>
      <c r="I15" s="382">
        <f>F15/RCL!E14</f>
        <v>0.037891170719998334</v>
      </c>
      <c r="J15" s="341">
        <f>J12-J14</f>
        <v>2162074.7800748907</v>
      </c>
      <c r="K15" s="341">
        <f>J15/((1+Parâmetros!E11)*(1+Parâmetros!F11)*(1+Parâmetros!G11))</f>
        <v>1963323.1731345297</v>
      </c>
      <c r="L15" s="559"/>
      <c r="M15" s="382">
        <f>J15/RCL!F14</f>
        <v>0.08203227595182747</v>
      </c>
    </row>
    <row r="16" spans="1:13" s="11" customFormat="1" ht="12.75">
      <c r="A16" s="381" t="s">
        <v>71</v>
      </c>
      <c r="B16" s="341">
        <f>'RPrim-Nom'!E79</f>
        <v>761665.8652166667</v>
      </c>
      <c r="C16" s="341">
        <f>B16/(1+Parâmetros!E11)</f>
        <v>739122.6251496038</v>
      </c>
      <c r="D16" s="559"/>
      <c r="E16" s="382">
        <f>B16/RCL!D14</f>
        <v>0.03279254418243868</v>
      </c>
      <c r="F16" s="341">
        <f>'RPrim-Nom'!F79</f>
        <v>941591.971019583</v>
      </c>
      <c r="G16" s="341">
        <f>F16/((1+Parâmetros!E11)*(1+Parâmetros!F11))</f>
        <v>883422.0314250636</v>
      </c>
      <c r="H16" s="559"/>
      <c r="I16" s="382">
        <f>F16/RCL!E14</f>
        <v>0.037846619139923494</v>
      </c>
      <c r="J16" s="341">
        <f>'RPrim-Nom'!G79</f>
        <v>2143602.0152384285</v>
      </c>
      <c r="K16" s="341">
        <f>J16/((1+Parâmetros!E11)*(1+Parâmetros!F11)*(1+Parâmetros!G11))</f>
        <v>1946548.5418361458</v>
      </c>
      <c r="L16" s="559"/>
      <c r="M16" s="382">
        <f>J16/RCL!F14</f>
        <v>0.08133139226518393</v>
      </c>
    </row>
    <row r="17" spans="1:13" s="11" customFormat="1" ht="12.75">
      <c r="A17" s="381" t="s">
        <v>72</v>
      </c>
      <c r="B17" s="341">
        <f>Dívida!E7</f>
        <v>736043.6066666668</v>
      </c>
      <c r="C17" s="341">
        <f>B17/(1+Parâmetros!E11)</f>
        <v>714258.7158337379</v>
      </c>
      <c r="D17" s="559"/>
      <c r="E17" s="382">
        <f>B17/RCL!D14</f>
        <v>0.03168941079557523</v>
      </c>
      <c r="F17" s="341">
        <f>Dívida!F7</f>
        <v>882287.0722222222</v>
      </c>
      <c r="G17" s="341">
        <f>F17/((1+Parâmetros!E11)*(1+Parâmetros!F11))</f>
        <v>827780.8877221372</v>
      </c>
      <c r="H17" s="559"/>
      <c r="I17" s="382">
        <f>F17/RCL!E14</f>
        <v>0.03546290094032477</v>
      </c>
      <c r="J17" s="341">
        <f>Dívida!G7</f>
        <v>902448.6396296296</v>
      </c>
      <c r="K17" s="341">
        <f>J17/((1+Parâmetros!E11)*(1+Parâmetros!F11)*(1+Parâmetros!G11))</f>
        <v>819489.8451603103</v>
      </c>
      <c r="L17" s="559"/>
      <c r="M17" s="382">
        <f>J17/RCL!F14</f>
        <v>0.034240219866902476</v>
      </c>
    </row>
    <row r="18" spans="1:13" s="11" customFormat="1" ht="12.75">
      <c r="A18" s="381" t="s">
        <v>73</v>
      </c>
      <c r="B18" s="341">
        <f>Dívida!E15</f>
        <v>-2883820.6566666663</v>
      </c>
      <c r="C18" s="341">
        <f>B18/(1+Parâmetros!E11)</f>
        <v>-2798467.4009380555</v>
      </c>
      <c r="D18" s="559"/>
      <c r="E18" s="382">
        <f>B18/RCL!D14</f>
        <v>-0.12415918924116393</v>
      </c>
      <c r="F18" s="341">
        <f>Dívida!F15</f>
        <v>-3020361.618888889</v>
      </c>
      <c r="G18" s="341">
        <f>F18/((1+Parâmetros!E11)*(1+Parâmetros!F11))</f>
        <v>-2833768.8501186487</v>
      </c>
      <c r="H18" s="559"/>
      <c r="I18" s="382">
        <f>F18/RCL!E14</f>
        <v>-0.1214012856663931</v>
      </c>
      <c r="J18" s="341">
        <f>Dívida!G15</f>
        <v>-3231826.2018518527</v>
      </c>
      <c r="K18" s="341">
        <f>J18/((1+Parâmetros!E11)*(1+Parâmetros!F11)*(1+Parâmetros!G11))</f>
        <v>-2934736.2691216953</v>
      </c>
      <c r="L18" s="559"/>
      <c r="M18" s="382">
        <f>J18/RCL!F14</f>
        <v>-0.12262020780311517</v>
      </c>
    </row>
    <row r="19" spans="1:13" s="11" customFormat="1" ht="12.75">
      <c r="A19" s="381" t="s">
        <v>210</v>
      </c>
      <c r="B19" s="341">
        <v>0</v>
      </c>
      <c r="C19" s="341">
        <f>B19/(1+Parâmetros!E11)</f>
        <v>0</v>
      </c>
      <c r="D19" s="559"/>
      <c r="E19" s="382">
        <f>B19/RCL!D14</f>
        <v>0</v>
      </c>
      <c r="F19" s="341">
        <v>0</v>
      </c>
      <c r="G19" s="341">
        <f>F19/((1+Parâmetros!E11)*(1+Parâmetros!F11))</f>
        <v>0</v>
      </c>
      <c r="H19" s="559"/>
      <c r="I19" s="382">
        <f>F19/RCL!E14</f>
        <v>0</v>
      </c>
      <c r="J19" s="341">
        <v>0</v>
      </c>
      <c r="K19" s="341">
        <f>J19/((1+Parâmetros!E11)*(1+Parâmetros!F11)*(1+Parâmetros!G11))</f>
        <v>0</v>
      </c>
      <c r="L19" s="559"/>
      <c r="M19" s="382">
        <f>J19/RCL!F14</f>
        <v>0</v>
      </c>
    </row>
    <row r="20" spans="1:13" s="11" customFormat="1" ht="12.75">
      <c r="A20" s="381" t="s">
        <v>211</v>
      </c>
      <c r="B20" s="341">
        <v>0</v>
      </c>
      <c r="C20" s="341">
        <f>B20/(1+Parâmetros!E11)</f>
        <v>0</v>
      </c>
      <c r="D20" s="559"/>
      <c r="E20" s="382">
        <f>B20/RCL!D14</f>
        <v>0</v>
      </c>
      <c r="F20" s="341">
        <v>0</v>
      </c>
      <c r="G20" s="341">
        <f>F20/((1+Parâmetros!E11)*(1+Parâmetros!F11))</f>
        <v>0</v>
      </c>
      <c r="H20" s="559"/>
      <c r="I20" s="382">
        <f>F20/RCL!E14</f>
        <v>0</v>
      </c>
      <c r="J20" s="341">
        <v>0</v>
      </c>
      <c r="K20" s="341">
        <f>J20/((1+Parâmetros!E11)*(1+Parâmetros!F11)*(1+Parâmetros!G11))</f>
        <v>0</v>
      </c>
      <c r="L20" s="559"/>
      <c r="M20" s="382">
        <f>J20/RCL!F14</f>
        <v>0</v>
      </c>
    </row>
    <row r="21" spans="1:13" s="11" customFormat="1" ht="12.75">
      <c r="A21" s="381" t="s">
        <v>212</v>
      </c>
      <c r="B21" s="341">
        <v>0</v>
      </c>
      <c r="C21" s="341">
        <f>B21/(1+Parâmetros!E11)</f>
        <v>0</v>
      </c>
      <c r="D21" s="560"/>
      <c r="E21" s="382">
        <f>B21/RCL!D14</f>
        <v>0</v>
      </c>
      <c r="F21" s="341">
        <v>0</v>
      </c>
      <c r="G21" s="341">
        <f>F21/((1+Parâmetros!E11)*(1+Parâmetros!F11))</f>
        <v>0</v>
      </c>
      <c r="H21" s="560"/>
      <c r="I21" s="382">
        <f>F21/RCL!E14</f>
        <v>0</v>
      </c>
      <c r="J21" s="341">
        <v>0</v>
      </c>
      <c r="K21" s="341">
        <f>J21/((1+Parâmetros!E11)*(1+Parâmetros!F11)*(1+Parâmetros!G11))</f>
        <v>0</v>
      </c>
      <c r="L21" s="560"/>
      <c r="M21" s="382">
        <f>J21/RCL!F14</f>
        <v>0</v>
      </c>
    </row>
    <row r="22" spans="1:13" ht="12.75">
      <c r="A22" s="563"/>
      <c r="B22" s="563"/>
      <c r="C22" s="563"/>
      <c r="D22" s="563"/>
      <c r="E22" s="563"/>
      <c r="F22" s="563"/>
      <c r="G22" s="563"/>
      <c r="H22" s="563"/>
      <c r="I22" s="563"/>
      <c r="J22" s="563"/>
      <c r="K22" s="563"/>
      <c r="L22" s="563"/>
      <c r="M22" s="563"/>
    </row>
    <row r="23" s="111" customFormat="1" ht="15" customHeight="1"/>
  </sheetData>
  <sheetProtection/>
  <mergeCells count="22">
    <mergeCell ref="D11:D21"/>
    <mergeCell ref="H11:H21"/>
    <mergeCell ref="J6:M6"/>
    <mergeCell ref="L11:L21"/>
    <mergeCell ref="A22:M22"/>
    <mergeCell ref="A7:A10"/>
    <mergeCell ref="B7:E7"/>
    <mergeCell ref="B8:B10"/>
    <mergeCell ref="C8:C10"/>
    <mergeCell ref="J8:J10"/>
    <mergeCell ref="K8:K10"/>
    <mergeCell ref="A5:M5"/>
    <mergeCell ref="F8:F10"/>
    <mergeCell ref="G8:G10"/>
    <mergeCell ref="J7:M7"/>
    <mergeCell ref="F6:H6"/>
    <mergeCell ref="A1:M1"/>
    <mergeCell ref="A2:M2"/>
    <mergeCell ref="A3:M3"/>
    <mergeCell ref="A4:M4"/>
    <mergeCell ref="F7:I7"/>
    <mergeCell ref="A6:D6"/>
  </mergeCells>
  <printOptions/>
  <pageMargins left="0.7874015748031497" right="0.7874015748031497" top="0.984251968503937" bottom="0.984251968503937" header="0.5118110236220472" footer="0.5118110236220472"/>
  <pageSetup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tabColor theme="3"/>
  </sheetPr>
  <dimension ref="A1:J17"/>
  <sheetViews>
    <sheetView zoomScale="90" zoomScaleNormal="90" zoomScaleSheetLayoutView="90" zoomScalePageLayoutView="0" workbookViewId="0" topLeftCell="A1">
      <selection activeCell="B9" sqref="B9"/>
    </sheetView>
  </sheetViews>
  <sheetFormatPr defaultColWidth="9.140625" defaultRowHeight="12.75"/>
  <cols>
    <col min="1" max="1" width="30.00390625" style="13" customWidth="1"/>
    <col min="2" max="2" width="12.140625" style="13" customWidth="1"/>
    <col min="3" max="3" width="13.421875" style="13" customWidth="1"/>
    <col min="4" max="4" width="12.140625" style="13" customWidth="1"/>
    <col min="5" max="6" width="12.8515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583" t="str">
        <f>Parâmetros!A7</f>
        <v>Município de : Tavares</v>
      </c>
      <c r="B1" s="581"/>
      <c r="C1" s="581"/>
      <c r="D1" s="581"/>
      <c r="E1" s="581"/>
      <c r="F1" s="581"/>
      <c r="G1" s="581"/>
      <c r="H1" s="581"/>
      <c r="I1" s="581"/>
      <c r="J1" s="582"/>
    </row>
    <row r="2" spans="1:10" ht="14.25">
      <c r="A2" s="580" t="s">
        <v>36</v>
      </c>
      <c r="B2" s="581"/>
      <c r="C2" s="581"/>
      <c r="D2" s="581"/>
      <c r="E2" s="581"/>
      <c r="F2" s="581"/>
      <c r="G2" s="581"/>
      <c r="H2" s="581"/>
      <c r="I2" s="581"/>
      <c r="J2" s="582"/>
    </row>
    <row r="3" spans="1:10" ht="14.25">
      <c r="A3" s="580" t="str">
        <f>'Metas Cons'!A3:M3</f>
        <v>ANEXO DE METAS FISCAIS</v>
      </c>
      <c r="B3" s="581"/>
      <c r="C3" s="581"/>
      <c r="D3" s="581"/>
      <c r="E3" s="581"/>
      <c r="F3" s="581"/>
      <c r="G3" s="581"/>
      <c r="H3" s="581"/>
      <c r="I3" s="581"/>
      <c r="J3" s="582"/>
    </row>
    <row r="4" spans="1:10" ht="15">
      <c r="A4" s="584" t="s">
        <v>490</v>
      </c>
      <c r="B4" s="585"/>
      <c r="C4" s="585"/>
      <c r="D4" s="585"/>
      <c r="E4" s="585"/>
      <c r="F4" s="585"/>
      <c r="G4" s="585"/>
      <c r="H4" s="585"/>
      <c r="I4" s="585"/>
      <c r="J4" s="586"/>
    </row>
    <row r="5" spans="1:10" ht="17.25" customHeight="1">
      <c r="A5" s="580" t="s">
        <v>644</v>
      </c>
      <c r="B5" s="581"/>
      <c r="C5" s="581"/>
      <c r="D5" s="581"/>
      <c r="E5" s="581"/>
      <c r="F5" s="581"/>
      <c r="G5" s="581"/>
      <c r="H5" s="581"/>
      <c r="I5" s="581"/>
      <c r="J5" s="582"/>
    </row>
    <row r="6" spans="1:10" ht="21.75" customHeight="1">
      <c r="A6" s="177"/>
      <c r="B6" s="178"/>
      <c r="C6" s="178"/>
      <c r="D6" s="178"/>
      <c r="E6" s="178"/>
      <c r="F6" s="178"/>
      <c r="G6" s="178"/>
      <c r="H6" s="178"/>
      <c r="I6" s="178"/>
      <c r="J6" s="179"/>
    </row>
    <row r="7" spans="1:10" ht="15">
      <c r="A7" s="574" t="s">
        <v>503</v>
      </c>
      <c r="B7" s="575"/>
      <c r="C7" s="575"/>
      <c r="D7" s="576"/>
      <c r="E7" s="587"/>
      <c r="F7" s="587"/>
      <c r="G7" s="587"/>
      <c r="H7" s="588">
        <v>1</v>
      </c>
      <c r="I7" s="589"/>
      <c r="J7" s="589"/>
    </row>
    <row r="8" spans="1:10" s="14" customFormat="1" ht="14.25">
      <c r="A8" s="568" t="s">
        <v>56</v>
      </c>
      <c r="B8" s="571">
        <v>2022</v>
      </c>
      <c r="C8" s="572"/>
      <c r="D8" s="573"/>
      <c r="E8" s="571">
        <f>B8+1</f>
        <v>2023</v>
      </c>
      <c r="F8" s="572"/>
      <c r="G8" s="573"/>
      <c r="H8" s="571">
        <f>E8+1</f>
        <v>2024</v>
      </c>
      <c r="I8" s="572"/>
      <c r="J8" s="573"/>
    </row>
    <row r="9" spans="1:10" ht="15.75" customHeight="1">
      <c r="A9" s="569"/>
      <c r="B9" s="279" t="s">
        <v>57</v>
      </c>
      <c r="C9" s="280" t="s">
        <v>57</v>
      </c>
      <c r="D9" s="280" t="s">
        <v>58</v>
      </c>
      <c r="E9" s="280" t="s">
        <v>57</v>
      </c>
      <c r="F9" s="280" t="s">
        <v>57</v>
      </c>
      <c r="G9" s="280" t="s">
        <v>58</v>
      </c>
      <c r="H9" s="280" t="s">
        <v>57</v>
      </c>
      <c r="I9" s="280" t="s">
        <v>57</v>
      </c>
      <c r="J9" s="281" t="s">
        <v>58</v>
      </c>
    </row>
    <row r="10" spans="1:10" ht="15.75" customHeight="1">
      <c r="A10" s="569"/>
      <c r="B10" s="282" t="s">
        <v>59</v>
      </c>
      <c r="C10" s="283" t="s">
        <v>60</v>
      </c>
      <c r="D10" s="283" t="s">
        <v>61</v>
      </c>
      <c r="E10" s="283" t="s">
        <v>59</v>
      </c>
      <c r="F10" s="283" t="s">
        <v>60</v>
      </c>
      <c r="G10" s="283" t="s">
        <v>62</v>
      </c>
      <c r="H10" s="283" t="s">
        <v>59</v>
      </c>
      <c r="I10" s="283" t="s">
        <v>60</v>
      </c>
      <c r="J10" s="284" t="s">
        <v>63</v>
      </c>
    </row>
    <row r="11" spans="1:10" ht="15.75" customHeight="1">
      <c r="A11" s="570"/>
      <c r="B11" s="286" t="s">
        <v>64</v>
      </c>
      <c r="C11" s="287"/>
      <c r="D11" s="288" t="s">
        <v>65</v>
      </c>
      <c r="E11" s="288" t="s">
        <v>66</v>
      </c>
      <c r="F11" s="287"/>
      <c r="G11" s="288" t="s">
        <v>65</v>
      </c>
      <c r="H11" s="288" t="s">
        <v>67</v>
      </c>
      <c r="I11" s="287"/>
      <c r="J11" s="289" t="s">
        <v>65</v>
      </c>
    </row>
    <row r="12" spans="1:10" ht="14.25">
      <c r="A12" s="290" t="s">
        <v>147</v>
      </c>
      <c r="B12" s="291">
        <f>Projeções!G17+Projeções!G28+Projeções!G72+Projeções!G95+Projeções!G98</f>
        <v>0</v>
      </c>
      <c r="C12" s="291">
        <f>B12/(1+Parâmetros!E11)</f>
        <v>0</v>
      </c>
      <c r="D12" s="577" t="s">
        <v>647</v>
      </c>
      <c r="E12" s="291">
        <f>Projeções!H17+Projeções!H28+Projeções!H72+Projeções!H95+Projeções!H98</f>
        <v>0</v>
      </c>
      <c r="F12" s="291">
        <f>E12/((1+Parâmetros!E11)*(1+Parâmetros!F11))</f>
        <v>0</v>
      </c>
      <c r="G12" s="577" t="s">
        <v>647</v>
      </c>
      <c r="H12" s="292">
        <f>Projeções!I17+Projeções!I28+Projeções!I72+Projeções!I95+Projeções!I98</f>
        <v>0</v>
      </c>
      <c r="I12" s="292">
        <f>H12/((1+Parâmetros!E11)*(1+Parâmetros!F11)*(1+Parâmetros!G11))</f>
        <v>0</v>
      </c>
      <c r="J12" s="577" t="s">
        <v>647</v>
      </c>
    </row>
    <row r="13" spans="1:10" ht="14.25">
      <c r="A13" s="290" t="s">
        <v>148</v>
      </c>
      <c r="B13" s="291">
        <f>B12-Projeções!G28</f>
        <v>0</v>
      </c>
      <c r="C13" s="291">
        <f>B13/(1+Parâmetros!E11)</f>
        <v>0</v>
      </c>
      <c r="D13" s="578"/>
      <c r="E13" s="291">
        <f>E12-Projeções!H28</f>
        <v>0</v>
      </c>
      <c r="F13" s="291">
        <f>E13/((1+Parâmetros!E11)*(1+Parâmetros!F11))</f>
        <v>0</v>
      </c>
      <c r="G13" s="578"/>
      <c r="H13" s="292">
        <f>H12-Projeções!I28</f>
        <v>0</v>
      </c>
      <c r="I13" s="292">
        <f>H13/((1+Parâmetros!E11)*(1+Parâmetros!F11)*(1+Parâmetros!G11))</f>
        <v>0</v>
      </c>
      <c r="J13" s="578"/>
    </row>
    <row r="14" spans="1:10" ht="14.25">
      <c r="A14" s="290" t="s">
        <v>149</v>
      </c>
      <c r="B14" s="291">
        <f>Projeções!G121+Projeções!G126+Projeções!G131+Projeções!G137+Projeções!G147+Projeções!G150</f>
        <v>0</v>
      </c>
      <c r="C14" s="291">
        <f>B14/(1+Parâmetros!E11)</f>
        <v>0</v>
      </c>
      <c r="D14" s="578"/>
      <c r="E14" s="291">
        <f>Projeções!H121+Projeções!H126+Projeções!H131+Projeções!H137+Projeções!H147+Projeções!H150</f>
        <v>0</v>
      </c>
      <c r="F14" s="291">
        <f>E14/((1+Parâmetros!E11)*(1+Parâmetros!F11))</f>
        <v>0</v>
      </c>
      <c r="G14" s="578"/>
      <c r="H14" s="292">
        <f>Projeções!I121+Projeções!I126+Projeções!I131+Projeções!I137+Projeções!I147+Projeções!I150</f>
        <v>0</v>
      </c>
      <c r="I14" s="292">
        <f>H14/((1+Parâmetros!E11)*(1+Parâmetros!F11)*(1+Parâmetros!G11))</f>
        <v>0</v>
      </c>
      <c r="J14" s="578"/>
    </row>
    <row r="15" spans="1:10" ht="28.5">
      <c r="A15" s="290" t="s">
        <v>150</v>
      </c>
      <c r="B15" s="291">
        <f>B14-Projeções!G126-Projeções!G147</f>
        <v>0</v>
      </c>
      <c r="C15" s="291">
        <f>B15/(1+Parâmetros!E11)</f>
        <v>0</v>
      </c>
      <c r="D15" s="578"/>
      <c r="E15" s="291">
        <f>E14-Projeções!H126-Projeções!H147</f>
        <v>0</v>
      </c>
      <c r="F15" s="291">
        <f>E15/((1+Parâmetros!E11)*(1+Parâmetros!F11))</f>
        <v>0</v>
      </c>
      <c r="G15" s="578"/>
      <c r="H15" s="292">
        <f>H14-Projeções!I126-Projeções!I147</f>
        <v>0</v>
      </c>
      <c r="I15" s="292">
        <f>H15/((1+Parâmetros!E11)*(1+Parâmetros!F11)*(1+Parâmetros!G11))</f>
        <v>0</v>
      </c>
      <c r="J15" s="578"/>
    </row>
    <row r="16" spans="1:10" ht="28.5">
      <c r="A16" s="290" t="s">
        <v>151</v>
      </c>
      <c r="B16" s="291">
        <f>B13-B15</f>
        <v>0</v>
      </c>
      <c r="C16" s="291">
        <f>C13-C15</f>
        <v>0</v>
      </c>
      <c r="D16" s="579"/>
      <c r="E16" s="291">
        <f>E13-E15</f>
        <v>0</v>
      </c>
      <c r="F16" s="291">
        <f>F13-F15</f>
        <v>0</v>
      </c>
      <c r="G16" s="579"/>
      <c r="H16" s="292">
        <f>H13-H15</f>
        <v>0</v>
      </c>
      <c r="I16" s="292">
        <f>I13-I15</f>
        <v>0</v>
      </c>
      <c r="J16" s="579"/>
    </row>
    <row r="17" spans="1:10" ht="14.25">
      <c r="A17" s="567"/>
      <c r="B17" s="567"/>
      <c r="C17" s="567"/>
      <c r="D17" s="567"/>
      <c r="E17" s="567"/>
      <c r="F17" s="567"/>
      <c r="G17" s="567"/>
      <c r="H17" s="567"/>
      <c r="I17" s="567"/>
      <c r="J17" s="567"/>
    </row>
    <row r="18" s="181" customFormat="1" ht="15" customHeight="1"/>
  </sheetData>
  <sheetProtection/>
  <mergeCells count="16">
    <mergeCell ref="A5:J5"/>
    <mergeCell ref="A1:J1"/>
    <mergeCell ref="A2:J2"/>
    <mergeCell ref="A3:J3"/>
    <mergeCell ref="A4:J4"/>
    <mergeCell ref="E7:G7"/>
    <mergeCell ref="H7:J7"/>
    <mergeCell ref="A17:J17"/>
    <mergeCell ref="A8:A11"/>
    <mergeCell ref="B8:D8"/>
    <mergeCell ref="E8:G8"/>
    <mergeCell ref="H8:J8"/>
    <mergeCell ref="A7:D7"/>
    <mergeCell ref="D12:D16"/>
    <mergeCell ref="G12:G16"/>
    <mergeCell ref="J12:J16"/>
  </mergeCells>
  <printOptions/>
  <pageMargins left="0.787401575" right="0.787401575" top="0.984251969" bottom="0.984251969" header="0.492125985" footer="0.492125985"/>
  <pageSetup horizontalDpi="300" verticalDpi="300" orientation="portrait" scale="63" r:id="rId2"/>
  <drawing r:id="rId1"/>
</worksheet>
</file>

<file path=xl/worksheets/sheet9.xml><?xml version="1.0" encoding="utf-8"?>
<worksheet xmlns="http://schemas.openxmlformats.org/spreadsheetml/2006/main" xmlns:r="http://schemas.openxmlformats.org/officeDocument/2006/relationships">
  <sheetPr codeName="Plan12">
    <tabColor theme="4"/>
  </sheetPr>
  <dimension ref="A1:I19"/>
  <sheetViews>
    <sheetView view="pageBreakPreview" zoomScaleNormal="90" zoomScaleSheetLayoutView="100" zoomScalePageLayoutView="0" workbookViewId="0" topLeftCell="A1">
      <selection activeCell="E15" sqref="E15"/>
    </sheetView>
  </sheetViews>
  <sheetFormatPr defaultColWidth="9.140625" defaultRowHeight="12.75"/>
  <cols>
    <col min="1" max="1" width="20.7109375" style="11" customWidth="1"/>
    <col min="2" max="2" width="17.28125" style="11" customWidth="1"/>
    <col min="3" max="3" width="9.7109375" style="11" customWidth="1"/>
    <col min="4" max="4" width="10.57421875" style="11" customWidth="1"/>
    <col min="5" max="5" width="17.28125" style="11" customWidth="1"/>
    <col min="6" max="6" width="9.7109375" style="11" customWidth="1"/>
    <col min="7" max="7" width="10.57421875" style="11" customWidth="1"/>
    <col min="8" max="8" width="16.8515625" style="11" customWidth="1"/>
    <col min="9" max="9" width="10.140625" style="11" customWidth="1"/>
    <col min="10" max="16384" width="9.140625" style="11" customWidth="1"/>
  </cols>
  <sheetData>
    <row r="1" spans="1:9" ht="12.75">
      <c r="A1" s="537" t="str">
        <f>Parâmetros!A7</f>
        <v>Município de : Tavares</v>
      </c>
      <c r="B1" s="538"/>
      <c r="C1" s="538"/>
      <c r="D1" s="538"/>
      <c r="E1" s="538"/>
      <c r="F1" s="538"/>
      <c r="G1" s="538"/>
      <c r="H1" s="538"/>
      <c r="I1" s="539"/>
    </row>
    <row r="2" spans="1:9" ht="12.75">
      <c r="A2" s="540" t="s">
        <v>36</v>
      </c>
      <c r="B2" s="538"/>
      <c r="C2" s="538"/>
      <c r="D2" s="538"/>
      <c r="E2" s="538"/>
      <c r="F2" s="538"/>
      <c r="G2" s="538"/>
      <c r="H2" s="538"/>
      <c r="I2" s="539"/>
    </row>
    <row r="3" spans="1:9" ht="12.75">
      <c r="A3" s="540" t="str">
        <f>'Metas Cons'!A3:M3</f>
        <v>ANEXO DE METAS FISCAIS</v>
      </c>
      <c r="B3" s="538"/>
      <c r="C3" s="538"/>
      <c r="D3" s="538"/>
      <c r="E3" s="538"/>
      <c r="F3" s="538"/>
      <c r="G3" s="538"/>
      <c r="H3" s="538"/>
      <c r="I3" s="539"/>
    </row>
    <row r="4" spans="1:9" ht="12.75">
      <c r="A4" s="541" t="s">
        <v>491</v>
      </c>
      <c r="B4" s="542"/>
      <c r="C4" s="542"/>
      <c r="D4" s="542"/>
      <c r="E4" s="542"/>
      <c r="F4" s="542"/>
      <c r="G4" s="542"/>
      <c r="H4" s="542"/>
      <c r="I4" s="543"/>
    </row>
    <row r="5" spans="1:9" ht="12.75">
      <c r="A5" s="540" t="s">
        <v>686</v>
      </c>
      <c r="B5" s="538"/>
      <c r="C5" s="538"/>
      <c r="D5" s="538"/>
      <c r="E5" s="538"/>
      <c r="F5" s="538"/>
      <c r="G5" s="538"/>
      <c r="H5" s="538"/>
      <c r="I5" s="539"/>
    </row>
    <row r="6" spans="1:9" ht="12.75">
      <c r="A6" s="540"/>
      <c r="B6" s="538"/>
      <c r="C6" s="538"/>
      <c r="D6" s="538"/>
      <c r="E6" s="538"/>
      <c r="F6" s="538"/>
      <c r="G6" s="538"/>
      <c r="H6" s="538"/>
      <c r="I6" s="539"/>
    </row>
    <row r="7" spans="1:9" ht="12.75" customHeight="1">
      <c r="A7" s="600" t="s">
        <v>502</v>
      </c>
      <c r="B7" s="601"/>
      <c r="C7" s="340"/>
      <c r="D7" s="340"/>
      <c r="E7" s="340"/>
      <c r="F7" s="340"/>
      <c r="G7" s="340"/>
      <c r="H7" s="561">
        <v>1</v>
      </c>
      <c r="I7" s="562"/>
    </row>
    <row r="8" spans="1:9" ht="10.5" customHeight="1">
      <c r="A8" s="593" t="s">
        <v>56</v>
      </c>
      <c r="B8" s="553" t="s">
        <v>116</v>
      </c>
      <c r="C8" s="553" t="s">
        <v>58</v>
      </c>
      <c r="D8" s="553" t="s">
        <v>390</v>
      </c>
      <c r="E8" s="553" t="s">
        <v>117</v>
      </c>
      <c r="F8" s="553" t="s">
        <v>58</v>
      </c>
      <c r="G8" s="553" t="s">
        <v>390</v>
      </c>
      <c r="H8" s="596" t="s">
        <v>74</v>
      </c>
      <c r="I8" s="597"/>
    </row>
    <row r="9" spans="1:9" ht="12.75" customHeight="1">
      <c r="A9" s="594"/>
      <c r="B9" s="554"/>
      <c r="C9" s="554"/>
      <c r="D9" s="554"/>
      <c r="E9" s="554"/>
      <c r="F9" s="554"/>
      <c r="G9" s="554"/>
      <c r="H9" s="598"/>
      <c r="I9" s="599"/>
    </row>
    <row r="10" spans="1:9" ht="22.5" customHeight="1">
      <c r="A10" s="595"/>
      <c r="B10" s="384" t="s">
        <v>692</v>
      </c>
      <c r="C10" s="555"/>
      <c r="D10" s="555"/>
      <c r="E10" s="385" t="s">
        <v>693</v>
      </c>
      <c r="F10" s="555"/>
      <c r="G10" s="555"/>
      <c r="H10" s="386" t="s">
        <v>118</v>
      </c>
      <c r="I10" s="383" t="s">
        <v>75</v>
      </c>
    </row>
    <row r="11" spans="1:9" ht="12.75">
      <c r="A11" s="381" t="s">
        <v>39</v>
      </c>
      <c r="B11" s="341">
        <v>20060661.17</v>
      </c>
      <c r="C11" s="590" t="s">
        <v>648</v>
      </c>
      <c r="D11" s="419">
        <f>B11/RCL!B14</f>
        <v>1.0023034958176433</v>
      </c>
      <c r="E11" s="387">
        <f>Projeções!E109-Projeções!E97-Projeções!E100</f>
        <v>21968415.801999994</v>
      </c>
      <c r="F11" s="590" t="s">
        <v>648</v>
      </c>
      <c r="G11" s="382">
        <f>E11/RCL!B14</f>
        <v>1.0976218465246204</v>
      </c>
      <c r="H11" s="420">
        <f aca="true" t="shared" si="0" ref="H11:H18">E11-B11</f>
        <v>1907754.6319999918</v>
      </c>
      <c r="I11" s="421">
        <f aca="true" t="shared" si="1" ref="I11:I18">IF(B11=0,"-",(H11/B11))</f>
        <v>0.09509928989045338</v>
      </c>
    </row>
    <row r="12" spans="1:9" ht="12.75">
      <c r="A12" s="381" t="s">
        <v>124</v>
      </c>
      <c r="B12" s="341">
        <v>18509092.37</v>
      </c>
      <c r="C12" s="591"/>
      <c r="D12" s="419">
        <f>B12/RCL!B14</f>
        <v>0.9247814830054611</v>
      </c>
      <c r="E12" s="387">
        <f>E11-Projeções!E25-Projeções!E79-Projeções!E80-Projeções!E85</f>
        <v>21401011.311999995</v>
      </c>
      <c r="F12" s="591"/>
      <c r="G12" s="382">
        <f>E12/RCL!B14</f>
        <v>1.0692722572937274</v>
      </c>
      <c r="H12" s="420">
        <f t="shared" si="0"/>
        <v>2891918.941999994</v>
      </c>
      <c r="I12" s="421">
        <f t="shared" si="1"/>
        <v>0.1562431525106703</v>
      </c>
    </row>
    <row r="13" spans="1:9" ht="12.75">
      <c r="A13" s="381" t="s">
        <v>40</v>
      </c>
      <c r="B13" s="341">
        <f>B11</f>
        <v>20060661.17</v>
      </c>
      <c r="C13" s="591"/>
      <c r="D13" s="419">
        <f>B13/RCL!B14</f>
        <v>1.0023034958176433</v>
      </c>
      <c r="E13" s="387">
        <f>Projeções!E151-Projeções!E122-Projeções!E127-Projeções!E132-Projeções!E138-Projeções!E143-Projeções!E148</f>
        <v>19227293.700000003</v>
      </c>
      <c r="F13" s="591"/>
      <c r="G13" s="382">
        <f>E13/RCL!B14</f>
        <v>0.960665430082759</v>
      </c>
      <c r="H13" s="420">
        <f t="shared" si="0"/>
        <v>-833367.4699999988</v>
      </c>
      <c r="I13" s="421">
        <f t="shared" si="1"/>
        <v>-0.041542373052303475</v>
      </c>
    </row>
    <row r="14" spans="1:9" ht="12.75">
      <c r="A14" s="381" t="s">
        <v>125</v>
      </c>
      <c r="B14" s="341">
        <v>19917674.28</v>
      </c>
      <c r="C14" s="591"/>
      <c r="D14" s="419">
        <f>B14/RCL!B14</f>
        <v>0.9951593514403176</v>
      </c>
      <c r="E14" s="387">
        <f>E13-Projeções!E123-Projeções!E144-Projeções!E140</f>
        <v>19201015.830000002</v>
      </c>
      <c r="F14" s="591"/>
      <c r="G14" s="382">
        <f>E14/RCL!B14</f>
        <v>0.959352492251825</v>
      </c>
      <c r="H14" s="420">
        <f t="shared" si="0"/>
        <v>-716658.4499999993</v>
      </c>
      <c r="I14" s="421">
        <f t="shared" si="1"/>
        <v>-0.03598103071298941</v>
      </c>
    </row>
    <row r="15" spans="1:9" ht="25.5">
      <c r="A15" s="381" t="s">
        <v>76</v>
      </c>
      <c r="B15" s="418">
        <f>B12-B14</f>
        <v>-1408581.9100000001</v>
      </c>
      <c r="C15" s="591"/>
      <c r="D15" s="419">
        <f>B15/RCL!B14</f>
        <v>-0.07037786843485644</v>
      </c>
      <c r="E15" s="418">
        <f>E12-E14</f>
        <v>2199995.4819999933</v>
      </c>
      <c r="F15" s="591"/>
      <c r="G15" s="382">
        <f>E15/RCL!B14</f>
        <v>0.10991976504190239</v>
      </c>
      <c r="H15" s="420">
        <f t="shared" si="0"/>
        <v>3608577.3919999935</v>
      </c>
      <c r="I15" s="421">
        <f t="shared" si="1"/>
        <v>-2.561851296244457</v>
      </c>
    </row>
    <row r="16" spans="1:9" ht="15" customHeight="1">
      <c r="A16" s="381" t="s">
        <v>37</v>
      </c>
      <c r="B16" s="342">
        <v>897147.09</v>
      </c>
      <c r="C16" s="591"/>
      <c r="D16" s="419">
        <f>B16/RCL!B14</f>
        <v>0.04482472720861103</v>
      </c>
      <c r="E16" s="387">
        <v>-191302.19</v>
      </c>
      <c r="F16" s="591"/>
      <c r="G16" s="382">
        <f>E16/RCL!B14</f>
        <v>-0.009558152254787872</v>
      </c>
      <c r="H16" s="420">
        <f t="shared" si="0"/>
        <v>-1088449.28</v>
      </c>
      <c r="I16" s="421">
        <f t="shared" si="1"/>
        <v>-1.2132339190890091</v>
      </c>
    </row>
    <row r="17" spans="1:9" ht="27" customHeight="1">
      <c r="A17" s="381" t="s">
        <v>77</v>
      </c>
      <c r="B17" s="342">
        <v>297313.21</v>
      </c>
      <c r="C17" s="591"/>
      <c r="D17" s="419">
        <f>B17/RCL!B14</f>
        <v>0.014854847864207515</v>
      </c>
      <c r="E17" s="387">
        <f>Dívida!C7</f>
        <v>821802.37</v>
      </c>
      <c r="F17" s="591"/>
      <c r="G17" s="382">
        <f>E17/RCL!B14</f>
        <v>0.04106023133245634</v>
      </c>
      <c r="H17" s="420">
        <f t="shared" si="0"/>
        <v>524489.1599999999</v>
      </c>
      <c r="I17" s="421">
        <f t="shared" si="1"/>
        <v>1.7640963884517606</v>
      </c>
    </row>
    <row r="18" spans="1:9" ht="28.5" customHeight="1">
      <c r="A18" s="381" t="s">
        <v>78</v>
      </c>
      <c r="B18" s="342">
        <v>-2474197.77</v>
      </c>
      <c r="C18" s="592"/>
      <c r="D18" s="419">
        <f>B18/RCL!B14</f>
        <v>-0.12361990730015493</v>
      </c>
      <c r="E18" s="387">
        <f>Dívida!C15</f>
        <v>-2385967.87</v>
      </c>
      <c r="F18" s="592"/>
      <c r="G18" s="382">
        <f>E18/RCL!B14</f>
        <v>-0.11921162103001495</v>
      </c>
      <c r="H18" s="420">
        <f t="shared" si="0"/>
        <v>88229.8999999999</v>
      </c>
      <c r="I18" s="421">
        <f t="shared" si="1"/>
        <v>-0.03566000304009647</v>
      </c>
    </row>
    <row r="19" spans="1:9" ht="12.75">
      <c r="A19" s="563"/>
      <c r="B19" s="563"/>
      <c r="C19" s="563"/>
      <c r="D19" s="563"/>
      <c r="E19" s="563"/>
      <c r="F19" s="563"/>
      <c r="G19" s="563"/>
      <c r="H19" s="563"/>
      <c r="I19" s="563"/>
    </row>
  </sheetData>
  <sheetProtection/>
  <mergeCells count="19">
    <mergeCell ref="F8:F10"/>
    <mergeCell ref="D8:D10"/>
    <mergeCell ref="G8:G10"/>
    <mergeCell ref="A5:I5"/>
    <mergeCell ref="A6:I6"/>
    <mergeCell ref="A1:I1"/>
    <mergeCell ref="A2:I2"/>
    <mergeCell ref="A3:I3"/>
    <mergeCell ref="A4:I4"/>
    <mergeCell ref="C11:C18"/>
    <mergeCell ref="F11:F18"/>
    <mergeCell ref="A19:I19"/>
    <mergeCell ref="H7:I7"/>
    <mergeCell ref="A8:A10"/>
    <mergeCell ref="B8:B9"/>
    <mergeCell ref="E8:E9"/>
    <mergeCell ref="H8:I9"/>
    <mergeCell ref="A7:B7"/>
    <mergeCell ref="C8:C10"/>
  </mergeCells>
  <printOptions/>
  <pageMargins left="0.7874015748031497" right="0.7874015748031497" top="0.984251968503937" bottom="0.984251968503937"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Usuário do Windows</cp:lastModifiedBy>
  <cp:lastPrinted>2021-11-10T21:21:54Z</cp:lastPrinted>
  <dcterms:created xsi:type="dcterms:W3CDTF">2000-07-04T17:38:30Z</dcterms:created>
  <dcterms:modified xsi:type="dcterms:W3CDTF">2021-11-10T21:22:03Z</dcterms:modified>
  <cp:category/>
  <cp:version/>
  <cp:contentType/>
  <cp:contentStatus/>
</cp:coreProperties>
</file>