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602" firstSheet="5" activeTab="9"/>
  </bookViews>
  <sheets>
    <sheet name="Parâmetros" sheetId="1" r:id="rId1"/>
    <sheet name="Projeções" sheetId="2" r:id="rId2"/>
    <sheet name="RCL" sheetId="3" r:id="rId3"/>
    <sheet name="Pessoal" sheetId="4" r:id="rId4"/>
    <sheet name="Câmara" sheetId="5" r:id="rId5"/>
    <sheet name="Educação" sheetId="6" r:id="rId6"/>
    <sheet name="Saúde" sheetId="7" r:id="rId7"/>
    <sheet name="Ass.Social" sheetId="8" r:id="rId8"/>
    <sheet name="RPPS" sheetId="9" r:id="rId9"/>
    <sheet name="Consolidação" sheetId="10" r:id="rId10"/>
  </sheets>
  <definedNames>
    <definedName name="_xlnm.Print_Area" localSheetId="0">'Parâmetros'!$A$7:$F$23</definedName>
    <definedName name="_xlnm.Print_Area" localSheetId="1">'Projeções'!$A$1:$AL$229</definedName>
    <definedName name="Z_16B3F100_CCE8_11D8_BD62_000C6E3CD3F1_.wvu.Cols" localSheetId="0" hidden="1">'Parâmetros'!$B:$B,'Parâmetros'!#REF!</definedName>
    <definedName name="Z_16B3F100_CCE8_11D8_BD62_000C6E3CD3F1_.wvu.Rows" localSheetId="0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<sst xmlns="http://schemas.openxmlformats.org/spreadsheetml/2006/main" count="511" uniqueCount="449">
  <si>
    <t>CONTAS</t>
  </si>
  <si>
    <t>FISCAIS</t>
  </si>
  <si>
    <t xml:space="preserve">RESULTADOS </t>
  </si>
  <si>
    <t>CONSOLIDADAS ANUAIS</t>
  </si>
  <si>
    <t>REALIZADO</t>
  </si>
  <si>
    <t>PROJETADO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</si>
  <si>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</si>
  <si>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</si>
  <si>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</si>
  <si>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</si>
  <si>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</si>
  <si>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</si>
  <si>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</si>
  <si>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</si>
  <si>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</si>
  <si>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</si>
  <si>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</si>
  <si>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</si>
  <si>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</si>
  <si>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</si>
  <si>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</si>
  <si>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</si>
  <si>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</si>
  <si>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</si>
  <si>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</si>
  <si>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</si>
  <si>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</si>
  <si>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>4.6.00.00.00.00.00</t>
  </si>
  <si>
    <t>Valores em R$ 1,00</t>
  </si>
  <si>
    <t>ESPECIFICAÇÃO</t>
  </si>
  <si>
    <t>INFLAÇÃO MÉDIA ANUAL   (I P C A)</t>
  </si>
  <si>
    <t xml:space="preserve">VARIAÇÃODO PIB </t>
  </si>
  <si>
    <t>CRESCIMENTO VEGETATIVO DA FOLHA SALARIAL</t>
  </si>
  <si>
    <t>ARRECADADA</t>
  </si>
  <si>
    <t>1.0.0.0.00.0.0.00.00.00</t>
  </si>
  <si>
    <t>Receitas Correntes</t>
  </si>
  <si>
    <t>1.1.0.0.00.0.0.00.00.00</t>
  </si>
  <si>
    <t>Impostos, Taxas e Contribuições de Melhoria</t>
  </si>
  <si>
    <t>1.1.1.0.00.0.0.00.00.00</t>
  </si>
  <si>
    <t>1.1.2.0.00.0.0.00.00.00</t>
  </si>
  <si>
    <t>Taxas</t>
  </si>
  <si>
    <t>1.1.3.0.00.0.0.00.00.00</t>
  </si>
  <si>
    <t>Contribuição de Melhoria</t>
  </si>
  <si>
    <t>1.2.0.0.00.0.0.00.00.00</t>
  </si>
  <si>
    <t>Contribuições</t>
  </si>
  <si>
    <t>1.2.1.0.00.0.0.00.00.00</t>
  </si>
  <si>
    <t>Contribuições Sociais</t>
  </si>
  <si>
    <t>1.2.1.0.04.0.0.00.00.00</t>
  </si>
  <si>
    <t>1.2.1.0.06.0.0.00.00.00</t>
  </si>
  <si>
    <t>Contribuição para os Fundos de Assistência Médica</t>
  </si>
  <si>
    <t>1.2.1.0.99.0.0.00.00.00</t>
  </si>
  <si>
    <t>Outras Contribuições Sociais</t>
  </si>
  <si>
    <t>1.2.1.8.00.0.0.00.00.00</t>
  </si>
  <si>
    <t>Contribuições Sociais específicas de Estados, DF, Municípios</t>
  </si>
  <si>
    <t>1.2.2.0.00.0.0.00.00.00</t>
  </si>
  <si>
    <t>Contribuições Econômicas</t>
  </si>
  <si>
    <t>1.2.4.0.00.0.0.00.00.00</t>
  </si>
  <si>
    <t>Contribuição para o Custeio do Serviço de Iluminação Pública</t>
  </si>
  <si>
    <t>1.3.0.0.00.0.0.00.00.00</t>
  </si>
  <si>
    <t>Receita Patrimonial</t>
  </si>
  <si>
    <t>1.3.1.0.00.0.0.00.00.00</t>
  </si>
  <si>
    <t>1.3.2.0.00.0.0.00.00.00</t>
  </si>
  <si>
    <t>Valores Mobiliários</t>
  </si>
  <si>
    <t>1.3.2.1.00.1.1.01.00.00</t>
  </si>
  <si>
    <t>1.3.2.1.00.1.1.02.00.00</t>
  </si>
  <si>
    <t>Remuneração de Depósitos de Recursos Não Vinculados - Principal</t>
  </si>
  <si>
    <t>1.3.2.1.00.4.0.00.00.00</t>
  </si>
  <si>
    <t>Remuneração dos Recursos do Regime Próprio de Previdência Social - RPPS</t>
  </si>
  <si>
    <t>1.3.2.1.00.5.0.00.00.00</t>
  </si>
  <si>
    <t>Juros de Títulos de Renda</t>
  </si>
  <si>
    <t>1.3.2.9.00.0.0.00.00.00</t>
  </si>
  <si>
    <t>Outros Valores Mobiliários</t>
  </si>
  <si>
    <t>1.3.3.0.00.0.0.00.00.00</t>
  </si>
  <si>
    <t>Delegação de Serviços Públicos Mediante Concessão, Permissão, Autorização ou Licença</t>
  </si>
  <si>
    <t>1.3.6.0.00.0.0.00.00.00</t>
  </si>
  <si>
    <t>Cessão de Direitos</t>
  </si>
  <si>
    <t>1.3.9.0.00.0.0.00.00.00</t>
  </si>
  <si>
    <t>Demais Receitas Patrimoniais</t>
  </si>
  <si>
    <t>1.4.0.0.00.0.0.00.00.00</t>
  </si>
  <si>
    <t>Receita Agropecuária</t>
  </si>
  <si>
    <t>Receita de Serviços</t>
  </si>
  <si>
    <t>1.7.0.0.00.0.0.00.00.00</t>
  </si>
  <si>
    <t>Transferências Correntes</t>
  </si>
  <si>
    <t>1.7.1.0.00.0.0.00.00.00</t>
  </si>
  <si>
    <t>Transferências da União e de suas Entidades</t>
  </si>
  <si>
    <t>1.7.1.8.01.2.0.00.00.00</t>
  </si>
  <si>
    <t>Cota-Parte do Fundo de Participação dos Municípios - Cota Mensal</t>
  </si>
  <si>
    <t>1.7.1.8.01.3.0.00.00.00</t>
  </si>
  <si>
    <t>Cota-Parte do Fundo de Participação do Municípios – 1% Cota entregue no mês de dezembro</t>
  </si>
  <si>
    <t>1.7.1.8.01.4.0.00.00.00</t>
  </si>
  <si>
    <t>Cota-Parte do Fundo de Participação dos Municípios - 1% Cota entregue no mês de julho</t>
  </si>
  <si>
    <t>1.7.1.8.01.5.0.00.00.00</t>
  </si>
  <si>
    <t>Cota-Parte do Imposto Sobre a Propriedade Territorial Rural</t>
  </si>
  <si>
    <t>1.7.1.8.02.0.0.00.00.00</t>
  </si>
  <si>
    <t>Transferência da Compensação Financeira pela Exploração de Recursos Naturais</t>
  </si>
  <si>
    <t>Transferência de Recursos do Sistema Único de Saúde – SUS – Repasses Fundo a Fundo</t>
  </si>
  <si>
    <t>Transferências de Recursos do Fundo Nacional de Assistência Social – FNAS</t>
  </si>
  <si>
    <t>1.7.1.8.05.0.0.00.00.00</t>
  </si>
  <si>
    <t>Transferências de Recursos do Fundo Nacional do Desenvolvimento da Educação – FNDE</t>
  </si>
  <si>
    <t>1.7.1.8.06.0.0.00.00.00</t>
  </si>
  <si>
    <t>Transferência Financeira do ICMS – Desoneração – L.C. Nº 87/96</t>
  </si>
  <si>
    <t>1.7.1.8.10.0.0.00.00.00</t>
  </si>
  <si>
    <t>1.7.2.0.00.0.0.00.00.00</t>
  </si>
  <si>
    <t>Transferências dos Estados e do Distrito Federal e de suas Entidades</t>
  </si>
  <si>
    <t>1.7.2.8.01.1.0.00.00.00</t>
  </si>
  <si>
    <t>Cota-Parte do ICMS</t>
  </si>
  <si>
    <t>1.5.0.0.00.0.0.00.00.00</t>
  </si>
  <si>
    <t>Receita Industrial</t>
  </si>
  <si>
    <t>1.7.2.8.01.2.0.00.00.00</t>
  </si>
  <si>
    <t>Cota-Parte do IPVA</t>
  </si>
  <si>
    <t>1.7.2.8.01.3.0.00.00.00</t>
  </si>
  <si>
    <t>Cota-Parte do IPI - Municípios</t>
  </si>
  <si>
    <t>1.7.2.8.01.4.0.00.00.00</t>
  </si>
  <si>
    <t>Cota-Parte da Contribuição de Intervenção no Domínio Econômico</t>
  </si>
  <si>
    <t>1.7.2.8.01.5.0.00.00.00</t>
  </si>
  <si>
    <t>Outras Participações na Receita dos Estados</t>
  </si>
  <si>
    <t>1.7.2.8.01.9.0.00.00.00</t>
  </si>
  <si>
    <t>Outras Transferências dos Estados</t>
  </si>
  <si>
    <t>Transferência de Recursos do Estado para Programas de Saúde – Repasse Fundo a Fundo</t>
  </si>
  <si>
    <t>1.7.2.8.99.0.0.00.00.00</t>
  </si>
  <si>
    <t>1.7.3.0.00.0.0.00.00.00</t>
  </si>
  <si>
    <t>Transferências dos Municípios e de suas Entidades</t>
  </si>
  <si>
    <t>1.7.4.0.00.0.0.00.00.00</t>
  </si>
  <si>
    <t>Transferências de Instituições Privadas</t>
  </si>
  <si>
    <t>Transferências de Outras Instituições Públicas</t>
  </si>
  <si>
    <t>1.7.6.0.00.0.0.00.00.00</t>
  </si>
  <si>
    <t>Transferências do Exterior</t>
  </si>
  <si>
    <t>1.7.7.0.00.0.0.00.00.00</t>
  </si>
  <si>
    <t>Transferências de Pessoas Físicas</t>
  </si>
  <si>
    <t>1.9.0.0.00.0.0.00.00.00</t>
  </si>
  <si>
    <t>Outras Receitas Correntes</t>
  </si>
  <si>
    <t>1.9.1.0.00.0.0.00.00.00</t>
  </si>
  <si>
    <t>Multas Administrativas, Contratuais e Judiciais</t>
  </si>
  <si>
    <t>1.9.2.0.00.0.0.00.00.00</t>
  </si>
  <si>
    <t>Indenizações, Restituições e Ressarcimentos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</si>
  <si>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</si>
  <si>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</si>
  <si>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</si>
  <si>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</si>
  <si>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1.9.9.0.06.0.0.00.00.00</t>
  </si>
  <si>
    <t>Contrapartida de Subvenções ou Subsídios</t>
  </si>
  <si>
    <t>1.9.9.0.12.0.0.00.00.00</t>
  </si>
  <si>
    <t>Encargos Legais pela Inscrição em Dívida Ativa e Receitas de Ônus de Sucumbência</t>
  </si>
  <si>
    <t>1.9.9.0.99.0.0.00.00.00</t>
  </si>
  <si>
    <t>2.0.0.0.00.0.0.00.00.00</t>
  </si>
  <si>
    <t>Receitas de Capital</t>
  </si>
  <si>
    <t>2.1.0.0.00.0.0.00.00.00</t>
  </si>
  <si>
    <t>Operações de Crédito</t>
  </si>
  <si>
    <t>2.2.0.0.00.0.0.00.00.00</t>
  </si>
  <si>
    <t>Alienação de Bens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</si>
  <si>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</si>
  <si>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</si>
  <si>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</si>
  <si>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</si>
  <si>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</si>
  <si>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</si>
  <si>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2.4.0.0.00.0.0.00.00.00</t>
  </si>
  <si>
    <t>Transferências de Capital</t>
  </si>
  <si>
    <t>2.4.3.0.00.0.0.00.00.00</t>
  </si>
  <si>
    <t>2.4.4.0.00.0.0.00.00.00</t>
  </si>
  <si>
    <t>2.4.5.0.00.0.0.00.00.00</t>
  </si>
  <si>
    <t>2.4.6.0.00.0.0.00.00.00</t>
  </si>
  <si>
    <t>2.4.7.0.00.0.0.00.00.00</t>
  </si>
  <si>
    <t>2.9.0.0.00.0.0.00.00.00</t>
  </si>
  <si>
    <t>Outras Receitas de Capital</t>
  </si>
  <si>
    <t>2.9.9.0.00.1.1.01.00.00</t>
  </si>
  <si>
    <t>2.9.9.0.00.1.1.02.00.00</t>
  </si>
  <si>
    <t>Remuneracao de Depósitos Bancários - Principal</t>
  </si>
  <si>
    <t>7.0.0.0.00.0.0.00.00.00</t>
  </si>
  <si>
    <t>8.0.0.0.00.0.0.00.00.00</t>
  </si>
  <si>
    <t>Receitas de Capital Intraorçamentárias</t>
  </si>
  <si>
    <t>9.0.0.0.0.00.0.0.00.00</t>
  </si>
  <si>
    <t>9.1.1.0.0.00.0.0.00.00</t>
  </si>
  <si>
    <t>9.1.7.0.0.00.0.0.00.00</t>
  </si>
  <si>
    <t>Deduções para o FUNDEB</t>
  </si>
  <si>
    <t>9.1.0.0.0.00.0.0.00.00</t>
  </si>
  <si>
    <t>9.2.0.0.0.00.0.0.00.00</t>
  </si>
  <si>
    <t>Contribuição para o Regime Próprio de Previdência Social - RPPS (dos servidores)</t>
  </si>
  <si>
    <t>II - DEDUÇÕES</t>
  </si>
  <si>
    <t xml:space="preserve">    I R R F s/Rendimentos do Trabalho</t>
  </si>
  <si>
    <t>Contribuições Previdenciárias do Regime Próprio</t>
  </si>
  <si>
    <t>Compensação Financeira entre Regimes</t>
  </si>
  <si>
    <t>III - (+) Ajuste Perdas com o Fundeb</t>
  </si>
  <si>
    <t>IV - RECEITA CORRENTE LÍQUIDA (I-II+III)</t>
  </si>
  <si>
    <t>I - RECEITAS CORRENTES (Exceto Intraorçamentárias)</t>
  </si>
  <si>
    <t>1.1.1.3.03.1.1.01.00.00</t>
  </si>
  <si>
    <t>1.1.1.3.03.1.1.02.00.00</t>
  </si>
  <si>
    <t xml:space="preserve"> Demais Impostos</t>
  </si>
  <si>
    <t>IRRF s/Rend.Trabalho - Principal - Ativos/Inativos do Poder Executivo/Indiretas</t>
  </si>
  <si>
    <t>IRRF s/Rend.Trabalho - Principal - Ativos/Inativos do Poder Legislativo</t>
  </si>
  <si>
    <t xml:space="preserve">Deduções da Receita Corrente </t>
  </si>
  <si>
    <t>1.7.5.8.01.1.1.00.00.00</t>
  </si>
  <si>
    <t>Transferências de Recursos do FUNDEB - Principal</t>
  </si>
  <si>
    <t>Rendimentos de Aplicações de Rec.Previdenciários</t>
  </si>
  <si>
    <t>Limite Máximo Legal   -  54 % da  RCL (alínea “b” do inciso III do artigo 20 da LRF)</t>
  </si>
  <si>
    <t>Limite Prudencial - 51,30 % da RCL (parágrafo único do artigo 22 daLRF)</t>
  </si>
  <si>
    <t>Limite de Alerta - 48,60 % da RCL (inciso II do § 1º do artigo 59 da LRF)</t>
  </si>
  <si>
    <t>PODER EXECUTIVO</t>
  </si>
  <si>
    <t xml:space="preserve">PODER LEGISLATIVO </t>
  </si>
  <si>
    <t>Limite Máximo Legal   -  6 % da  RCL (alínea “b” do inciso III do artigo 20 da LRF)</t>
  </si>
  <si>
    <t>Limite Prudencial - 5,70 % da RCL (parágrafo único do artigo 22 daLRF)</t>
  </si>
  <si>
    <t>Limite de Alerta -  5,40 % da RCL (inciso II do § 1º do artigo 59 da LRF)</t>
  </si>
  <si>
    <t>Indicador</t>
  </si>
  <si>
    <t>TOTAL DAS RECEITAS ARRECADADAS</t>
  </si>
  <si>
    <t>1.6.0.0.00.0.0.00.00</t>
  </si>
  <si>
    <t>Demais Serviços</t>
  </si>
  <si>
    <t>1.6.4.0.01.1.0.00.00 + 1.6.4.0.03.1.0.00.00</t>
  </si>
  <si>
    <t>Retorno de Operações -  Juros e Encargos Financeiros / Rem. s/Repasse para Programas de Desenv.Econômico</t>
  </si>
  <si>
    <t>1.9.2.2.01.2.0.00.00</t>
  </si>
  <si>
    <t>Restituição de Convênios -  Financeiras</t>
  </si>
  <si>
    <t>1.9.2.0.00.0.0.00.00</t>
  </si>
  <si>
    <t>Outras Indenizações, Restituições e Ressarcimentos</t>
  </si>
  <si>
    <t>1.9.9.0.1.1.1.0.00.00.00</t>
  </si>
  <si>
    <t>Variação Cambial</t>
  </si>
  <si>
    <t>1.9.9.0.99.2.0.00.00.00</t>
  </si>
  <si>
    <t>Outras Receitas Financeiras</t>
  </si>
  <si>
    <t>Outras Receitas (demais receitas diversas)</t>
  </si>
  <si>
    <t xml:space="preserve">2.2.1.8.01.1.0.00.00.00 </t>
  </si>
  <si>
    <t>Alienação de Investimentos Temporários</t>
  </si>
  <si>
    <t>2.2.1.8.01.2.0.00.00.00</t>
  </si>
  <si>
    <t>Alienação de Investimenros Permanentes</t>
  </si>
  <si>
    <r>
      <t>( R ) Deduções da Receita</t>
    </r>
    <r>
      <rPr>
        <b/>
        <sz val="10"/>
        <color indexed="10"/>
        <rFont val="Arial"/>
        <family val="2"/>
      </rPr>
      <t xml:space="preserve"> </t>
    </r>
  </si>
  <si>
    <r>
      <t>Deduções da Receita de Impostos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</si>
  <si>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Corrente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</si>
  <si>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de Capital</t>
    </r>
    <r>
      <rPr>
        <sz val="10"/>
        <color indexed="10"/>
        <rFont val="Arial"/>
        <family val="2"/>
      </rPr>
      <t xml:space="preserve"> (digitar com sinal negativo)</t>
    </r>
  </si>
  <si>
    <t>Receitas Correntes Intraorçamentárias</t>
  </si>
  <si>
    <t/>
  </si>
  <si>
    <r>
      <t xml:space="preserve">Receitas Correntes Intraorçamentárias </t>
    </r>
    <r>
      <rPr>
        <b/>
        <sz val="10"/>
        <color indexed="10"/>
        <rFont val="Arial"/>
        <family val="2"/>
      </rPr>
      <t>-RPPS</t>
    </r>
  </si>
  <si>
    <r>
      <t xml:space="preserve">Receitas Correntes Intraorçamentárias </t>
    </r>
    <r>
      <rPr>
        <b/>
        <sz val="10"/>
        <color indexed="10"/>
        <rFont val="Arial"/>
        <family val="2"/>
      </rPr>
      <t>- Outras</t>
    </r>
  </si>
  <si>
    <r>
      <t xml:space="preserve">Receitas de Capital Intraorçamentárias </t>
    </r>
    <r>
      <rPr>
        <b/>
        <sz val="10"/>
        <color indexed="10"/>
        <rFont val="Arial"/>
        <family val="2"/>
      </rPr>
      <t>- RPPS</t>
    </r>
  </si>
  <si>
    <r>
      <t xml:space="preserve">Receitas de Capital Intraorçamentárias </t>
    </r>
    <r>
      <rPr>
        <b/>
        <sz val="10"/>
        <color indexed="10"/>
        <rFont val="Arial"/>
        <family val="2"/>
      </rPr>
      <t>- Outras</t>
    </r>
  </si>
  <si>
    <t>1.7.1.8.99.0.0.00.00.00</t>
  </si>
  <si>
    <t>Outras Transferências da União</t>
  </si>
  <si>
    <t>PLANO PLURIANUAL 2022 - 2025</t>
  </si>
  <si>
    <t>CRESCIMENTO VEGETATIVO DE OUTRAS DESP DE CUSTEIO</t>
  </si>
  <si>
    <t>PERCENTUAL DE AUMENTO SALARIAL - EXECUTVO (ACIMA DO IPCA)</t>
  </si>
  <si>
    <t>PERCENTUAL DE AUMENTO SALARIAL - LEGISLATIVO (ACIMA DO IPCA)</t>
  </si>
  <si>
    <t xml:space="preserve">Exploração do Patrimônio Imobiliário </t>
  </si>
  <si>
    <t>EXPECTATIVA DE CRESCIMENTO MÉDIO DA ARRECADAÇÃO TRIBUTÁRIA PRÓPRIA</t>
  </si>
  <si>
    <r>
      <t xml:space="preserve">Remuneração de Depósitos de </t>
    </r>
    <r>
      <rPr>
        <b/>
        <sz val="10"/>
        <rFont val="Arial"/>
        <family val="2"/>
      </rPr>
      <t>Outros</t>
    </r>
    <r>
      <rPr>
        <sz val="10"/>
        <rFont val="Arial"/>
        <family val="2"/>
      </rPr>
      <t xml:space="preserve"> Recursos Vinculados</t>
    </r>
  </si>
  <si>
    <t>EXPECTATIVA DE CRESCIMENTO DAS TRANSF.CONSTITUCIONAIS DA UNIÃO</t>
  </si>
  <si>
    <t>EXPECTATIVA DE CRESCIMENTO DAS TRANSF.CONSTITUCIONAIS DO ESTADO</t>
  </si>
  <si>
    <r>
      <t xml:space="preserve">Transferências de Convênios da União e de Suas Entidades - </t>
    </r>
    <r>
      <rPr>
        <b/>
        <sz val="10"/>
        <rFont val="Arial"/>
        <family val="2"/>
      </rPr>
      <t>ASS.SOCIAL</t>
    </r>
  </si>
  <si>
    <r>
      <t xml:space="preserve">Transferências de Convênios da União e de Suas Entidades - </t>
    </r>
    <r>
      <rPr>
        <b/>
        <sz val="10"/>
        <rFont val="Arial"/>
        <family val="2"/>
      </rPr>
      <t>EDUCAÇÃO</t>
    </r>
  </si>
  <si>
    <r>
      <t xml:space="preserve">Transferências de Convênios da União e de Suas Entidades - </t>
    </r>
    <r>
      <rPr>
        <b/>
        <sz val="10"/>
        <rFont val="Arial"/>
        <family val="2"/>
      </rPr>
      <t>OUTROS</t>
    </r>
  </si>
  <si>
    <r>
      <t xml:space="preserve">Transferências de Convênios da União e de Suas Entidades - </t>
    </r>
    <r>
      <rPr>
        <b/>
        <sz val="10"/>
        <rFont val="Arial"/>
        <family val="2"/>
      </rPr>
      <t>SAÚDE/SUS</t>
    </r>
  </si>
  <si>
    <t>1.7.1.8.10.1.0.00.00.00</t>
  </si>
  <si>
    <t>1.7.1.8.10.2.0.00.00.00</t>
  </si>
  <si>
    <t>1.7.1.8.10.3.0.00.00.00</t>
  </si>
  <si>
    <t>1.7.1.8.03.0.0.00.00.00 + 1.7.1.8.04.0.0.00.00.00</t>
  </si>
  <si>
    <t>1.7.1.8.12.0.0.00.00.00</t>
  </si>
  <si>
    <t>1.7.2.8.03.1.0.00.00.00</t>
  </si>
  <si>
    <t>1.7.2.8.07.1.0.00.00.00</t>
  </si>
  <si>
    <t>Transferência de Estado para Assistência Social   (FEAS)</t>
  </si>
  <si>
    <r>
      <t xml:space="preserve">Transferência de Convênios dos Estados e do DF - </t>
    </r>
    <r>
      <rPr>
        <b/>
        <sz val="10"/>
        <rFont val="Arial"/>
        <family val="2"/>
      </rPr>
      <t>SAÚDE/SUS</t>
    </r>
  </si>
  <si>
    <t>1.7.2.8.10.2.00.00.00</t>
  </si>
  <si>
    <t>1.7.2.8.10.1.00.00.00</t>
  </si>
  <si>
    <r>
      <t xml:space="preserve">Transferência de Convênios dos Estados e do DF - </t>
    </r>
    <r>
      <rPr>
        <b/>
        <sz val="10"/>
        <rFont val="Arial"/>
        <family val="2"/>
      </rPr>
      <t>EDUCAÇÃO</t>
    </r>
  </si>
  <si>
    <r>
      <t xml:space="preserve">Outras Transf.de Convênios dos Estados e do DF - </t>
    </r>
    <r>
      <rPr>
        <b/>
        <sz val="10"/>
        <rFont val="Arial"/>
        <family val="2"/>
      </rPr>
      <t>ASS.SOCIAL</t>
    </r>
  </si>
  <si>
    <t>1.7.2.8.10.9.YY.00.00</t>
  </si>
  <si>
    <t>1.7.2.8.10.9.XX.00.00</t>
  </si>
  <si>
    <r>
      <t xml:space="preserve">Outras Transf.de Convênios dos Estados e do DF - </t>
    </r>
    <r>
      <rPr>
        <b/>
        <sz val="10"/>
        <rFont val="Arial"/>
        <family val="2"/>
      </rPr>
      <t>OUTROS</t>
    </r>
  </si>
  <si>
    <t>Apuração Conforme a Instrução Normativa nº 17/2020, do TCE/RS</t>
  </si>
  <si>
    <t>2.4.1.8.04.0.0.00.00.00</t>
  </si>
  <si>
    <t>2.4.1.8.05.0.0.00.00.00</t>
  </si>
  <si>
    <t>TransF. De Recdursos Destinados a Programas de Educação</t>
  </si>
  <si>
    <t>2.4.1.8.10.1.0.00.00.00</t>
  </si>
  <si>
    <t>Transf. De Convênios da União para SUS (Saúde)</t>
  </si>
  <si>
    <t>2.4.1.8.10.2.0.00.00.00</t>
  </si>
  <si>
    <t>Transf.de Convênio da União p/ Programas de Educação</t>
  </si>
  <si>
    <t>2.4.1.8.10.X.X.00.00.00</t>
  </si>
  <si>
    <t>Demais Transf. De Convênios da União</t>
  </si>
  <si>
    <t>2.4.1.8.12.1.0.00.00.00</t>
  </si>
  <si>
    <t>Transf.de Recursos do FNAS - Ass. Social</t>
  </si>
  <si>
    <r>
      <t xml:space="preserve">Outras Receitas Diretamente Arrecadadas pelo </t>
    </r>
    <r>
      <rPr>
        <b/>
        <sz val="10"/>
        <color indexed="10"/>
        <rFont val="Arial"/>
        <family val="2"/>
      </rPr>
      <t>RPPS</t>
    </r>
    <r>
      <rPr>
        <sz val="10"/>
        <rFont val="Arial"/>
        <family val="2"/>
      </rPr>
      <t xml:space="preserve"> - Principal</t>
    </r>
  </si>
  <si>
    <r>
      <t xml:space="preserve">Transf.do SUS  - Fundo a Fundo  -  </t>
    </r>
    <r>
      <rPr>
        <b/>
        <sz val="10"/>
        <color indexed="10"/>
        <rFont val="Arial"/>
        <family val="2"/>
      </rPr>
      <t>Bloco de Estruturação</t>
    </r>
  </si>
  <si>
    <t>2.4.2.8.03.1.0.00.00.00</t>
  </si>
  <si>
    <t>2.4.2.8.05.0.0.00.00.00</t>
  </si>
  <si>
    <r>
      <t xml:space="preserve">Transf.de Recursos do SUS - </t>
    </r>
    <r>
      <rPr>
        <b/>
        <sz val="10"/>
        <color indexed="10"/>
        <rFont val="Arial"/>
        <family val="2"/>
      </rPr>
      <t>FES (estado)</t>
    </r>
  </si>
  <si>
    <r>
      <t>Transf.de Recursos p/ Programas de Educação (</t>
    </r>
    <r>
      <rPr>
        <b/>
        <sz val="10"/>
        <color indexed="10"/>
        <rFont val="Arial"/>
        <family val="2"/>
      </rPr>
      <t>Estado</t>
    </r>
    <r>
      <rPr>
        <sz val="10"/>
        <rFont val="Arial"/>
        <family val="2"/>
      </rPr>
      <t>)</t>
    </r>
  </si>
  <si>
    <t>2.4.2.8.10.1.0.00.00.00</t>
  </si>
  <si>
    <r>
      <t xml:space="preserve">Transf.de Convênios do </t>
    </r>
    <r>
      <rPr>
        <b/>
        <sz val="10"/>
        <color indexed="10"/>
        <rFont val="Arial"/>
        <family val="2"/>
      </rPr>
      <t>Estados</t>
    </r>
    <r>
      <rPr>
        <sz val="10"/>
        <rFont val="Arial"/>
        <family val="2"/>
      </rPr>
      <t xml:space="preserve"> para o </t>
    </r>
    <r>
      <rPr>
        <b/>
        <sz val="10"/>
        <color indexed="10"/>
        <rFont val="Arial"/>
        <family val="2"/>
      </rPr>
      <t>SUS</t>
    </r>
  </si>
  <si>
    <t>2.4.2.8.10.2.0.00.00.00</t>
  </si>
  <si>
    <r>
      <t xml:space="preserve">Transf.de Convênios do </t>
    </r>
    <r>
      <rPr>
        <b/>
        <sz val="10"/>
        <color indexed="10"/>
        <rFont val="Arial"/>
        <family val="2"/>
      </rPr>
      <t>Estado</t>
    </r>
    <r>
      <rPr>
        <sz val="10"/>
        <rFont val="Arial"/>
        <family val="2"/>
      </rPr>
      <t xml:space="preserve"> p/ Programas de </t>
    </r>
    <r>
      <rPr>
        <b/>
        <sz val="10"/>
        <color indexed="10"/>
        <rFont val="Arial"/>
        <family val="2"/>
      </rPr>
      <t>Educação</t>
    </r>
  </si>
  <si>
    <t>2.4.2.8.10.9.0.00.00.00</t>
  </si>
  <si>
    <t>Outras Transf.de Convênio do  Estado</t>
  </si>
  <si>
    <r>
      <t>Memória de Cálculo das Estimativas de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Despesas Fixas / Obrigatórias</t>
    </r>
  </si>
  <si>
    <t>3.1.00.00.00.00.00</t>
  </si>
  <si>
    <t>Pessoal e Encargos Sociais</t>
  </si>
  <si>
    <t>Pessoal e Encargos Sociais -  Poder Legislativo</t>
  </si>
  <si>
    <t>Pessoal e Encargos Sociais - Assist. Social</t>
  </si>
  <si>
    <t>Pessoal e Encargos Sociais - Do RPPS</t>
  </si>
  <si>
    <t>Pessoal e Encargos Sociais - Demais Áreas</t>
  </si>
  <si>
    <t>3.2.00.00.00.00.00</t>
  </si>
  <si>
    <t>Juros e Encargos da Dívida</t>
  </si>
  <si>
    <t>Juros e Encargos da Dívida - Poder Legislativo</t>
  </si>
  <si>
    <t>Juros e Encargos da Dívida - Saúde</t>
  </si>
  <si>
    <t>Juros e Encargos da Dívida - Educação</t>
  </si>
  <si>
    <t>Juros e Encargos da Dívida - Assist. Social</t>
  </si>
  <si>
    <t>Juros e Encargos da Dívida - Do RPPS</t>
  </si>
  <si>
    <t>Juros e Encargos da Dívida - Demais Áreas</t>
  </si>
  <si>
    <t>3.3.XX.47.00.00.00</t>
  </si>
  <si>
    <t>Obrigações Tributárias e Contributivas</t>
  </si>
  <si>
    <t>3.3.XX.08.00.00.00</t>
  </si>
  <si>
    <t>Outros Benef.Assistênciais - Poder Legislativo</t>
  </si>
  <si>
    <t>Outros Benef.Assistênciais - Saúde</t>
  </si>
  <si>
    <t>Outros Benef.Assistênciais - Educação</t>
  </si>
  <si>
    <t>Outros Benef.Assistênciais - Do RPPS</t>
  </si>
  <si>
    <t>Outros Benef.Assistênciais - Assist. Social</t>
  </si>
  <si>
    <t>Outros Benef.Assistênciais - Demais Áreas</t>
  </si>
  <si>
    <t>3.3.XX.46.00.00.00</t>
  </si>
  <si>
    <t>Auxílio - Alimentação</t>
  </si>
  <si>
    <t>Auxílio - Alimentação - Poder Legislativo</t>
  </si>
  <si>
    <t>Auxílio - Alimentação - Saúde</t>
  </si>
  <si>
    <t>Auxílio - Alimentação - Educação</t>
  </si>
  <si>
    <t>Auxílio - Alimentação - Assist. Social</t>
  </si>
  <si>
    <t>Auxílio - Alimentação - Do Rpps</t>
  </si>
  <si>
    <t>Auxílio - Alimentação - Demais Áreas</t>
  </si>
  <si>
    <t>Pessoal e Encargos Sociais - Saúde</t>
  </si>
  <si>
    <t>Pessoal e Encargos Sociais - Educação</t>
  </si>
  <si>
    <t>Obrigações Tributárias e Contributivas - Poder Legislativo</t>
  </si>
  <si>
    <t>Obrigações Tributárias e Contributivas - Saúde</t>
  </si>
  <si>
    <t>Obrigações Tributárias e Contributivas - Educação</t>
  </si>
  <si>
    <t>Obrigações Tributárias e Contributivas - do RPPS</t>
  </si>
  <si>
    <t>Obrigações Tributárias e Contributivas -Demais Áreas</t>
  </si>
  <si>
    <t>3.3.XX.91.00.00.00</t>
  </si>
  <si>
    <t>Sentenças Judiciais  (Exceto Precatórios de Pessoal)</t>
  </si>
  <si>
    <t>Sentenças Judiciais - Poder Legislativo</t>
  </si>
  <si>
    <t>Sentenças Judiciais - Saúde</t>
  </si>
  <si>
    <t>Sentenças Judiciais - Educação</t>
  </si>
  <si>
    <t>Obrigações Tributárias e Contributivas - Assist. Social</t>
  </si>
  <si>
    <t>Sentenças Judiciais - Assist. Social</t>
  </si>
  <si>
    <t>Sentenças Judiciais - Do RPPS</t>
  </si>
  <si>
    <t>Sentenças Judiciais - Demais Áreas</t>
  </si>
  <si>
    <t>3.3.XX.93.00.00.00</t>
  </si>
  <si>
    <t>Indenizações e Restituições</t>
  </si>
  <si>
    <t>Indenizações e Restituições - Poder Legislativo</t>
  </si>
  <si>
    <t>Indenizações e Restituições - Saúde</t>
  </si>
  <si>
    <t>Indenizações e Restituições - Educação</t>
  </si>
  <si>
    <t>Indenizações e Restituições - Assist. Social</t>
  </si>
  <si>
    <t>Indenizações e Restituições - Do RPPS</t>
  </si>
  <si>
    <t>Indenizações e Restituições - Demais Áreas</t>
  </si>
  <si>
    <t>4.4.XX.93.00.00.00</t>
  </si>
  <si>
    <t>Amortização da Dívida</t>
  </si>
  <si>
    <t>Amortização da Dívida - Poder Legislativo</t>
  </si>
  <si>
    <t>Amortização da Dívida - Saúde</t>
  </si>
  <si>
    <t>Amortização da Dívida - Educação</t>
  </si>
  <si>
    <t>Amortização da Dívida - Assist. Social</t>
  </si>
  <si>
    <t>Amortização da Dívida - Do RPPS</t>
  </si>
  <si>
    <t>Amortização da Dívida - Demais Áreas</t>
  </si>
  <si>
    <t>TOTAL DAS DESPESAS  FIXAS /  OBRIGATÓRIAS</t>
  </si>
  <si>
    <t>Outros Benefícios Assistênciais do Servidor e do Militar</t>
  </si>
  <si>
    <t>RECEITA EFETIVAMENTE ARRECADADA ANO ANTERIOR</t>
  </si>
  <si>
    <t xml:space="preserve">BASE DE CÁLCULO PARA O ANO DA DESPESA </t>
  </si>
  <si>
    <t>FPM (Art.159, CF/1998)</t>
  </si>
  <si>
    <t xml:space="preserve">FPM Cota Extra </t>
  </si>
  <si>
    <t>ITR (Art.158, CF/1998)</t>
  </si>
  <si>
    <t>Transferência Financeira LC nº 87/96</t>
  </si>
  <si>
    <t>ICMS (Art.158, CF/1998)</t>
  </si>
  <si>
    <t>IPVA (Art.158, CF/1998)</t>
  </si>
  <si>
    <t>IPI-EX (Art.159, CF/1998)</t>
  </si>
  <si>
    <t>Deduções das Receitas Correntes -  Exceto para o Fundeb (F)</t>
  </si>
  <si>
    <t xml:space="preserve"> </t>
  </si>
  <si>
    <t>Limite Percentual Estabelecido pelo Art. 29-A da Constituição da República</t>
  </si>
  <si>
    <t>Limite da despesa para o ano</t>
  </si>
  <si>
    <t>PLANO PLURIANUAL  2022 - 2025</t>
  </si>
  <si>
    <t>2022 /2021</t>
  </si>
  <si>
    <t>2023 / 2022</t>
  </si>
  <si>
    <t>2024 / 2023</t>
  </si>
  <si>
    <t>2025 / 2024</t>
  </si>
  <si>
    <t xml:space="preserve">Receita de Impostos, Taxas e Contribuição de Melhorias </t>
  </si>
  <si>
    <t>Contribuições dos Servidores para o Regime Próprio de Previdência</t>
  </si>
  <si>
    <t>Contribuições P/  Custeio da Iluminação Pública</t>
  </si>
  <si>
    <t xml:space="preserve">Transferências Constitucionais e Legais </t>
  </si>
  <si>
    <t>Cota Parte da  CIDE / Combustíveis</t>
  </si>
  <si>
    <t>Estimativas de Gastos do Poder Legislativo</t>
  </si>
  <si>
    <t xml:space="preserve"> Valor passível de alocação para demais diretrizes, objetivos e metas do Legislativo</t>
  </si>
  <si>
    <t xml:space="preserve">TOTAL DA RECEITA ARRECADADA NO ANO ANTERIOR  - RAEA </t>
  </si>
  <si>
    <t>Legislativo: Folha de Pagamento = 70% do Limite Total</t>
  </si>
  <si>
    <t>Subtotal - Gastos   Fixos /  Obrigatórios</t>
  </si>
  <si>
    <t>DISCRIMINAÇÃO</t>
  </si>
  <si>
    <t>RECEITA</t>
  </si>
  <si>
    <t>Transf. De Convenios Federais e Estaduais - Rec. Correntes</t>
  </si>
  <si>
    <t>Transf. De Convenios Federais e Estaduais - Rec. De Capital</t>
  </si>
  <si>
    <t>Demais Transferências de Capital para Programas de Educação</t>
  </si>
  <si>
    <t>Transferências de Recursos do FNDE</t>
  </si>
  <si>
    <t>Total de Recursos Estimados para Aplicação em Educação</t>
  </si>
  <si>
    <t>Estimativas de Gastos Fixos /  Obrigatórios</t>
  </si>
  <si>
    <t xml:space="preserve"> Valor passível de alocação para demais diretrizes, objetivos e metas da Educação</t>
  </si>
  <si>
    <t>IMPOSTOS PRÓPRIOS</t>
  </si>
  <si>
    <t xml:space="preserve">TRANSFERÊNCIAS CONSTITUCIONAIS DA UNIÃO </t>
  </si>
  <si>
    <t xml:space="preserve">TRANSFERÊNCIAS CONSTITUCIONAIS DO ESTADO </t>
  </si>
  <si>
    <t xml:space="preserve">TRANSFERÊNCIAS DE RECURSOS DO FUNDEB </t>
  </si>
  <si>
    <t xml:space="preserve">   GANHO / PERDA COM O FUNDEB  </t>
  </si>
  <si>
    <t>Informação Complementar</t>
  </si>
  <si>
    <t>Recursos Próprios Aportados para o Fundo Municipal de Assistência Social</t>
  </si>
  <si>
    <t>TOTAL DAS RECEITAS P/FINS DO ART. 198 DA CONSTITUIÇÃO</t>
  </si>
  <si>
    <t>TOTAL DAS RECEITAS P/FINS DO ART. 212 DA CONSTITUIÇÃO</t>
  </si>
  <si>
    <t>VALOR MÍNIMO A APLICAR  PARA FINS DO ART. 198 DA CONSTITUIÇÃO (15 %)</t>
  </si>
  <si>
    <t>VALOR MÍNIMO A APLICAR  PARA FINS DO ART. 212  DA CONSTITUIÇÃO (25%)</t>
  </si>
  <si>
    <t>Transferências de Recursos do SUS - Fundo Nacional de Saúde</t>
  </si>
  <si>
    <t>Total de Recursos Estimados para Aplicação em Saúde</t>
  </si>
  <si>
    <t>Demais Transferências de Capital para Programas de Saúde</t>
  </si>
  <si>
    <t>Transferências de Recursos do SUS - Fundo Estadual de Saúde</t>
  </si>
  <si>
    <t xml:space="preserve"> Valor passível de alocação para demais diretrizes, objetivos e metas da Saúde</t>
  </si>
  <si>
    <r>
      <t xml:space="preserve">Remuneração de Depósitos de Recursos </t>
    </r>
    <r>
      <rPr>
        <b/>
        <sz val="10"/>
        <color indexed="10"/>
        <rFont val="Arial"/>
        <family val="2"/>
      </rPr>
      <t>Vinculados da Saúde  (ASPS +  Fonte Federal e Estadual)</t>
    </r>
  </si>
  <si>
    <r>
      <t xml:space="preserve">Remuneração de Depósitos de Recursos Vinculados da Educação </t>
    </r>
    <r>
      <rPr>
        <b/>
        <sz val="10"/>
        <color indexed="10"/>
        <rFont val="Arial"/>
        <family val="2"/>
      </rPr>
      <t>(MDE, Fundeb e Demais Vinculações da Educação)</t>
    </r>
    <r>
      <rPr>
        <sz val="10"/>
        <rFont val="Arial"/>
        <family val="2"/>
      </rPr>
      <t xml:space="preserve"> </t>
    </r>
  </si>
  <si>
    <t>Rendimentos de Aplicações Financeiras  (MDE, Fundeb e demais vinculações)</t>
  </si>
  <si>
    <t>DEDUÇÕES DA RECEITA PARA FORMAÇÃO DO FUNDEB</t>
  </si>
  <si>
    <r>
      <t xml:space="preserve">Remuneração de Depósitos de Recursos </t>
    </r>
    <r>
      <rPr>
        <b/>
        <sz val="10"/>
        <color indexed="10"/>
        <rFont val="Arial"/>
        <family val="2"/>
      </rPr>
      <t>Vinculados da Assistência Social ( Rec. Próprios +  Fonte Federal e Estadual)</t>
    </r>
  </si>
  <si>
    <t>Rendimentos de Aplicações Financeiras  (Recursos ASPS + Fonte Federal e Estadual)</t>
  </si>
  <si>
    <t>Rendimentos de Aplicações Financeiras  (Recursos Próprios +  Fonte Federal e Estadual)</t>
  </si>
  <si>
    <t>Transferências de Recursos do SUAS - Fundo Nacional de Ass.Social</t>
  </si>
  <si>
    <t>Transferências de Recursos do SUAS - Fundo Estadual de Ass.Social</t>
  </si>
  <si>
    <t>Transferências de Capital para Programas de Ass.Social</t>
  </si>
  <si>
    <t>Total de Recursos Estimados para Aplicação em Assistência Social</t>
  </si>
  <si>
    <t xml:space="preserve"> Valor passível de alocação para demais diretrizes, objetivos e metas da Assist.  Social</t>
  </si>
  <si>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Recursos PRÓPRIO</t>
    </r>
    <r>
      <rPr>
        <sz val="10"/>
        <color indexed="10"/>
        <rFont val="Arial"/>
        <family val="2"/>
      </rPr>
      <t>S</t>
    </r>
    <r>
      <rPr>
        <sz val="10"/>
        <color indexed="8"/>
        <rFont val="Arial"/>
        <family val="2"/>
      </rPr>
      <t xml:space="preserve">  - Aportes para o Fundo Municipal de Assistência Social</t>
    </r>
  </si>
  <si>
    <t>Total de Recursos Estimados vinculados ao RPPS</t>
  </si>
  <si>
    <t>Contribuições dos Servidores para o RPPS</t>
  </si>
  <si>
    <t>Contribuições Patronais</t>
  </si>
  <si>
    <t>Rendimentos das Aplicações Financeiras</t>
  </si>
  <si>
    <t>Receita de Compensação Financeira</t>
  </si>
  <si>
    <t>Receitas de Capital Arrecadadas pelo RPPS</t>
  </si>
  <si>
    <t>Receitas totais estimadas</t>
  </si>
  <si>
    <t>(-)  Valores vinculados às Diretrizes, Objetivos e Metas da EDUCAÇÃO</t>
  </si>
  <si>
    <t>(-)  Valores vinculados às Diretrizes, Objetivos e Metas da SAÚDE</t>
  </si>
  <si>
    <t>(-)  Valores vinculados às Diretrizes, Objetivos e Metas da ASSISTÊNCIA SOCIAL</t>
  </si>
  <si>
    <t>(-)  Valores vinculados às Diretrizes, Objetivos e Metas do RPPS</t>
  </si>
  <si>
    <t>(-)  Valores vinculados às Diretrizes, Objetivos e Metas do Poder Legislativo</t>
  </si>
  <si>
    <t>RECURSOS DISPONÍVEIS PARA AS DEMAIS ÁREAS</t>
  </si>
  <si>
    <t>Estimativas de Gastos Fixos /  Obrigatórios - Demais Áreas</t>
  </si>
  <si>
    <t xml:space="preserve"> Valor passível de alocação para demais diretrizes, objetivos e metas. </t>
  </si>
  <si>
    <r>
      <rPr>
        <b/>
        <sz val="12"/>
        <color indexed="10"/>
        <rFont val="Arial"/>
        <family val="2"/>
      </rPr>
      <t xml:space="preserve">Tabela 01 </t>
    </r>
    <r>
      <rPr>
        <b/>
        <sz val="12"/>
        <rFont val="Arial"/>
        <family val="2"/>
      </rPr>
      <t>- Memória de Cálculo das Estimativas das Principais Receitas</t>
    </r>
  </si>
  <si>
    <t>Parâmentos Utilizados nas Estimativas das Receitas e Despesas</t>
  </si>
  <si>
    <r>
      <rPr>
        <b/>
        <sz val="10"/>
        <color indexed="10"/>
        <rFont val="Arial"/>
        <family val="2"/>
      </rPr>
      <t>Tabela 02 -</t>
    </r>
    <r>
      <rPr>
        <b/>
        <sz val="10"/>
        <color indexed="8"/>
        <rFont val="Arial"/>
        <family val="2"/>
      </rPr>
      <t xml:space="preserve"> Estimativas para a Receita Corrente Líquida</t>
    </r>
  </si>
  <si>
    <r>
      <rPr>
        <b/>
        <sz val="11"/>
        <color indexed="10"/>
        <rFont val="Arial"/>
        <family val="2"/>
      </rPr>
      <t>Tabela 05</t>
    </r>
    <r>
      <rPr>
        <b/>
        <sz val="11"/>
        <color indexed="8"/>
        <rFont val="Arial"/>
        <family val="2"/>
      </rPr>
      <t xml:space="preserve"> – Estimativa de Valores Disponíveis para as Diretrizes, Objetivos e Metas a serem Financiados com Recursos vinculados à Educação</t>
    </r>
  </si>
  <si>
    <r>
      <rPr>
        <b/>
        <sz val="11"/>
        <color indexed="10"/>
        <rFont val="Arial"/>
        <family val="2"/>
      </rPr>
      <t>Tabela 08</t>
    </r>
    <r>
      <rPr>
        <b/>
        <sz val="11"/>
        <color indexed="8"/>
        <rFont val="Arial"/>
        <family val="2"/>
      </rPr>
      <t xml:space="preserve"> – Estimativa de Valores Disponíveis para as Diretrizes, Objetivos e Metas a serem Financiados com Recursos do RPPS</t>
    </r>
  </si>
  <si>
    <r>
      <rPr>
        <b/>
        <sz val="11"/>
        <color indexed="10"/>
        <rFont val="Arial"/>
        <family val="2"/>
      </rPr>
      <t>Tabela 07</t>
    </r>
    <r>
      <rPr>
        <b/>
        <sz val="11"/>
        <color indexed="8"/>
        <rFont val="Arial"/>
        <family val="2"/>
      </rPr>
      <t xml:space="preserve"> – Estimativa de Valores Disponíveis para as Diretrizes, Objetivos e Metas a serem Financiados com Recursos vinculados à Assistência Social</t>
    </r>
  </si>
  <si>
    <r>
      <rPr>
        <b/>
        <sz val="11"/>
        <color indexed="10"/>
        <rFont val="Arial"/>
        <family val="2"/>
      </rPr>
      <t>Tabela 06</t>
    </r>
    <r>
      <rPr>
        <b/>
        <sz val="11"/>
        <color indexed="8"/>
        <rFont val="Arial"/>
        <family val="2"/>
      </rPr>
      <t xml:space="preserve"> – Estimativa de Valores Disponíveis para as Diretrizes, Objetivos e Metas a serem Financiados com Recursos vinculados à Saúde</t>
    </r>
  </si>
  <si>
    <r>
      <rPr>
        <b/>
        <sz val="11"/>
        <color indexed="10"/>
        <rFont val="Arial"/>
        <family val="2"/>
      </rPr>
      <t xml:space="preserve">Tabela 09 - Avaliação Global de </t>
    </r>
    <r>
      <rPr>
        <b/>
        <sz val="11"/>
        <color indexed="8"/>
        <rFont val="Arial"/>
        <family val="2"/>
      </rPr>
      <t>Valores Disponíveis para as Diretrizes, Objetivos e Metas  do PPA</t>
    </r>
  </si>
  <si>
    <r>
      <rPr>
        <b/>
        <sz val="11"/>
        <color indexed="10"/>
        <rFont val="Arial"/>
        <family val="2"/>
      </rPr>
      <t>Tabela 03 -</t>
    </r>
    <r>
      <rPr>
        <b/>
        <sz val="11"/>
        <color indexed="8"/>
        <rFont val="Arial"/>
        <family val="2"/>
      </rPr>
      <t xml:space="preserve"> Estimativa de Limites de Gastos com Pessoal do Poder Executivo e Legislativo para o período de 2022 a 2025</t>
    </r>
  </si>
  <si>
    <r>
      <rPr>
        <b/>
        <sz val="11"/>
        <color indexed="10"/>
        <rFont val="Arial"/>
        <family val="2"/>
      </rPr>
      <t xml:space="preserve">Tabela 04 </t>
    </r>
    <r>
      <rPr>
        <b/>
        <sz val="11"/>
        <color indexed="8"/>
        <rFont val="Arial"/>
        <family val="2"/>
      </rPr>
      <t>– Estimativa de Valores Máximos Disponíveis para as Diretrizes, Objetivos e Metas do  Poder Legislativo</t>
    </r>
  </si>
  <si>
    <t xml:space="preserve"> Valor passível de alocação para demais diretrizes, objetivos e metas do RPPS ou para a Reserva de Contingência.</t>
  </si>
  <si>
    <t>LIQUIDADA</t>
  </si>
  <si>
    <t>(RE) ESTIMADA</t>
  </si>
  <si>
    <t>LIQUIDADA (EST)</t>
  </si>
  <si>
    <t>PROJETADA</t>
  </si>
  <si>
    <t>Município de :  TAVARES</t>
  </si>
</sst>
</file>

<file path=xl/styles.xml><?xml version="1.0" encoding="utf-8"?>
<styleSheet xmlns="http://schemas.openxmlformats.org/spreadsheetml/2006/main">
  <numFmts count="7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0_);[Red]\(0\)"/>
    <numFmt numFmtId="199" formatCode="#,##0.0"/>
    <numFmt numFmtId="200" formatCode="mmm\-yy"/>
    <numFmt numFmtId="201" formatCode="d/m"/>
    <numFmt numFmtId="202" formatCode="d/m/yy"/>
    <numFmt numFmtId="203" formatCode="mmmm\-yy"/>
    <numFmt numFmtId="204" formatCode="d\-mmm"/>
    <numFmt numFmtId="205" formatCode="0.0"/>
    <numFmt numFmtId="206" formatCode="0.000"/>
    <numFmt numFmtId="207" formatCode="\ @"/>
    <numFmt numFmtId="208" formatCode="\ \ \ \ @"/>
    <numFmt numFmtId="209" formatCode="\ \ \ \ \ @"/>
    <numFmt numFmtId="210" formatCode="\ \ \ \ \ \ \ \ \ \ \ \ \ \ \ @"/>
    <numFmt numFmtId="211" formatCode="0.000%"/>
    <numFmt numFmtId="212" formatCode="[$-416]dddd\,\ d&quot; de &quot;mmmm&quot; de &quot;yyyy"/>
    <numFmt numFmtId="213" formatCode="00000"/>
    <numFmt numFmtId="214" formatCode="0&quot;.&quot;0&quot;.&quot;0&quot;.&quot;0&quot;.&quot;00&quot;.&quot;0&quot;.&quot;0"/>
    <numFmt numFmtId="215" formatCode="#,##0.00_ ;\-#,##0.00\ "/>
    <numFmt numFmtId="216" formatCode="_(* #,##0_);_(* \(#,##0\);_(* &quot;-&quot;??_);_(@_)"/>
    <numFmt numFmtId="217" formatCode="&quot;Sim&quot;;&quot;Sim&quot;;&quot;Não&quot;"/>
    <numFmt numFmtId="218" formatCode="&quot;Verdadeiro&quot;;&quot;Verdadeiro&quot;;&quot;Falso&quot;"/>
    <numFmt numFmtId="219" formatCode="&quot;Ativar&quot;;&quot;Ativar&quot;;&quot;Desativar&quot;"/>
    <numFmt numFmtId="220" formatCode="[$€-2]\ #,##0.00_);[Red]\([$€-2]\ #,##0.00\)"/>
    <numFmt numFmtId="221" formatCode="0&quot;.&quot;0&quot;.&quot;0&quot;.&quot;0&quot;.&quot;0&quot;.&quot;00&quot;.&quot;00"/>
    <numFmt numFmtId="222" formatCode="&quot;Ativado&quot;;&quot;Ativado&quot;;&quot;Desativado&quot;"/>
    <numFmt numFmtId="223" formatCode="#,##0_ ;\-#,##0\ "/>
    <numFmt numFmtId="224" formatCode="0.0%"/>
    <numFmt numFmtId="225" formatCode="0_ ;\-0\ "/>
  </numFmts>
  <fonts count="6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57"/>
      <name val="Arial"/>
      <family val="2"/>
    </font>
    <font>
      <sz val="14"/>
      <color indexed="17"/>
      <name val="Helv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Helv"/>
      <family val="0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30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8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2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 applyProtection="1">
      <alignment horizontal="left"/>
      <protection locked="0"/>
    </xf>
    <xf numFmtId="38" fontId="14" fillId="0" borderId="0" xfId="0" applyNumberFormat="1" applyFont="1" applyBorder="1" applyAlignment="1" applyProtection="1">
      <alignment horizontal="centerContinuous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right"/>
      <protection locked="0"/>
    </xf>
    <xf numFmtId="0" fontId="9" fillId="33" borderId="0" xfId="0" applyNumberFormat="1" applyFont="1" applyFill="1" applyBorder="1" applyAlignment="1" applyProtection="1">
      <alignment horizontal="left" vertical="center"/>
      <protection locked="0"/>
    </xf>
    <xf numFmtId="38" fontId="14" fillId="0" borderId="0" xfId="0" applyNumberFormat="1" applyFont="1" applyAlignment="1" applyProtection="1">
      <alignment/>
      <protection locked="0"/>
    </xf>
    <xf numFmtId="198" fontId="9" fillId="34" borderId="10" xfId="0" applyNumberFormat="1" applyFont="1" applyFill="1" applyBorder="1" applyAlignment="1" applyProtection="1">
      <alignment horizontal="center"/>
      <protection locked="0"/>
    </xf>
    <xf numFmtId="198" fontId="9" fillId="34" borderId="11" xfId="0" applyNumberFormat="1" applyFont="1" applyFill="1" applyBorder="1" applyAlignment="1" applyProtection="1">
      <alignment horizontal="center"/>
      <protection locked="0"/>
    </xf>
    <xf numFmtId="38" fontId="9" fillId="0" borderId="10" xfId="0" applyNumberFormat="1" applyFont="1" applyBorder="1" applyAlignment="1" applyProtection="1">
      <alignment/>
      <protection locked="0"/>
    </xf>
    <xf numFmtId="38" fontId="9" fillId="0" borderId="11" xfId="0" applyNumberFormat="1" applyFont="1" applyBorder="1" applyAlignment="1" applyProtection="1">
      <alignment/>
      <protection locked="0"/>
    </xf>
    <xf numFmtId="38" fontId="9" fillId="33" borderId="11" xfId="0" applyNumberFormat="1" applyFont="1" applyFill="1" applyBorder="1" applyAlignment="1" applyProtection="1">
      <alignment/>
      <protection locked="0"/>
    </xf>
    <xf numFmtId="38" fontId="9" fillId="0" borderId="12" xfId="0" applyNumberFormat="1" applyFont="1" applyBorder="1" applyAlignment="1" applyProtection="1">
      <alignment/>
      <protection locked="0"/>
    </xf>
    <xf numFmtId="38" fontId="9" fillId="33" borderId="13" xfId="0" applyNumberFormat="1" applyFont="1" applyFill="1" applyBorder="1" applyAlignment="1" applyProtection="1">
      <alignment/>
      <protection locked="0"/>
    </xf>
    <xf numFmtId="38" fontId="9" fillId="0" borderId="14" xfId="0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85" fontId="0" fillId="0" borderId="15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1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3" fillId="34" borderId="0" xfId="0" applyFont="1" applyFill="1" applyAlignment="1">
      <alignment/>
    </xf>
    <xf numFmtId="0" fontId="24" fillId="0" borderId="0" xfId="0" applyFont="1" applyAlignment="1" applyProtection="1">
      <alignment/>
      <protection locked="0"/>
    </xf>
    <xf numFmtId="0" fontId="22" fillId="0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4" fontId="9" fillId="33" borderId="11" xfId="0" applyNumberFormat="1" applyFont="1" applyFill="1" applyBorder="1" applyAlignment="1" applyProtection="1">
      <alignment vertical="center"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98" fontId="1" fillId="34" borderId="10" xfId="0" applyNumberFormat="1" applyFont="1" applyFill="1" applyBorder="1" applyAlignment="1">
      <alignment horizontal="center" vertical="center"/>
    </xf>
    <xf numFmtId="198" fontId="1" fillId="34" borderId="11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8" fontId="3" fillId="0" borderId="0" xfId="0" applyNumberFormat="1" applyFont="1" applyFill="1" applyAlignment="1" applyProtection="1">
      <alignment/>
      <protection locked="0"/>
    </xf>
    <xf numFmtId="38" fontId="4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171" fontId="0" fillId="33" borderId="15" xfId="0" applyNumberFormat="1" applyFont="1" applyFill="1" applyBorder="1" applyAlignment="1">
      <alignment/>
    </xf>
    <xf numFmtId="0" fontId="5" fillId="36" borderId="15" xfId="0" applyFont="1" applyFill="1" applyBorder="1" applyAlignment="1">
      <alignment horizontal="center"/>
    </xf>
    <xf numFmtId="0" fontId="5" fillId="37" borderId="15" xfId="0" applyFont="1" applyFill="1" applyBorder="1" applyAlignment="1" applyProtection="1">
      <alignment/>
      <protection locked="0"/>
    </xf>
    <xf numFmtId="0" fontId="5" fillId="37" borderId="15" xfId="0" applyFont="1" applyFill="1" applyBorder="1" applyAlignment="1">
      <alignment/>
    </xf>
    <xf numFmtId="0" fontId="5" fillId="38" borderId="15" xfId="0" applyFont="1" applyFill="1" applyBorder="1" applyAlignment="1">
      <alignment/>
    </xf>
    <xf numFmtId="10" fontId="0" fillId="39" borderId="15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Alignment="1">
      <alignment/>
    </xf>
    <xf numFmtId="0" fontId="31" fillId="34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0" fillId="0" borderId="0" xfId="0" applyFont="1" applyFill="1" applyAlignment="1" quotePrefix="1">
      <alignment/>
    </xf>
    <xf numFmtId="171" fontId="67" fillId="0" borderId="15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185" fontId="2" fillId="39" borderId="15" xfId="0" applyNumberFormat="1" applyFont="1" applyFill="1" applyBorder="1" applyAlignment="1">
      <alignment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Alignment="1">
      <alignment horizontal="left" vertical="center" indent="2"/>
    </xf>
    <xf numFmtId="0" fontId="27" fillId="0" borderId="0" xfId="0" applyFont="1" applyFill="1" applyAlignment="1" applyProtection="1">
      <alignment vertical="center"/>
      <protection/>
    </xf>
    <xf numFmtId="197" fontId="0" fillId="0" borderId="0" xfId="47" applyFont="1" applyAlignment="1">
      <alignment vertical="center"/>
    </xf>
    <xf numFmtId="0" fontId="26" fillId="7" borderId="0" xfId="0" applyFont="1" applyFill="1" applyBorder="1" applyAlignment="1" applyProtection="1">
      <alignment horizontal="center" vertical="center"/>
      <protection/>
    </xf>
    <xf numFmtId="0" fontId="26" fillId="7" borderId="16" xfId="0" applyFont="1" applyFill="1" applyBorder="1" applyAlignment="1" applyProtection="1">
      <alignment horizontal="left" vertical="center"/>
      <protection/>
    </xf>
    <xf numFmtId="0" fontId="26" fillId="7" borderId="17" xfId="0" applyFont="1" applyFill="1" applyBorder="1" applyAlignment="1" applyProtection="1">
      <alignment horizontal="left" vertical="center" indent="2"/>
      <protection/>
    </xf>
    <xf numFmtId="0" fontId="26" fillId="7" borderId="18" xfId="0" applyFont="1" applyFill="1" applyBorder="1" applyAlignment="1" applyProtection="1">
      <alignment vertical="center"/>
      <protection/>
    </xf>
    <xf numFmtId="0" fontId="27" fillId="7" borderId="0" xfId="0" applyFont="1" applyFill="1" applyAlignment="1" applyProtection="1">
      <alignment horizontal="left" vertical="center" indent="1"/>
      <protection/>
    </xf>
    <xf numFmtId="0" fontId="27" fillId="7" borderId="0" xfId="0" applyFont="1" applyFill="1" applyAlignment="1" applyProtection="1">
      <alignment horizontal="left" vertical="center" wrapText="1" indent="1"/>
      <protection/>
    </xf>
    <xf numFmtId="0" fontId="26" fillId="7" borderId="19" xfId="0" applyFont="1" applyFill="1" applyBorder="1" applyAlignment="1" applyProtection="1">
      <alignment horizontal="left" vertical="center" indent="1"/>
      <protection/>
    </xf>
    <xf numFmtId="0" fontId="27" fillId="7" borderId="0" xfId="0" applyFont="1" applyFill="1" applyBorder="1" applyAlignment="1" applyProtection="1">
      <alignment horizontal="left" vertical="center"/>
      <protection/>
    </xf>
    <xf numFmtId="216" fontId="27" fillId="7" borderId="0" xfId="63" applyNumberFormat="1" applyFont="1" applyFill="1" applyBorder="1" applyAlignment="1" applyProtection="1">
      <alignment horizontal="left" vertical="center"/>
      <protection/>
    </xf>
    <xf numFmtId="216" fontId="27" fillId="7" borderId="0" xfId="63" applyNumberFormat="1" applyFont="1" applyFill="1" applyBorder="1" applyAlignment="1" applyProtection="1">
      <alignment vertical="center"/>
      <protection/>
    </xf>
    <xf numFmtId="216" fontId="27" fillId="7" borderId="0" xfId="63" applyNumberFormat="1" applyFont="1" applyFill="1" applyAlignment="1" applyProtection="1">
      <alignment vertical="center"/>
      <protection/>
    </xf>
    <xf numFmtId="0" fontId="26" fillId="7" borderId="0" xfId="0" applyFont="1" applyFill="1" applyBorder="1" applyAlignment="1" applyProtection="1">
      <alignment horizontal="left" vertical="center"/>
      <protection/>
    </xf>
    <xf numFmtId="0" fontId="26" fillId="7" borderId="20" xfId="0" applyFont="1" applyFill="1" applyBorder="1" applyAlignment="1" applyProtection="1">
      <alignment horizontal="left" vertical="center"/>
      <protection/>
    </xf>
    <xf numFmtId="0" fontId="26" fillId="7" borderId="0" xfId="0" applyFont="1" applyFill="1" applyBorder="1" applyAlignment="1" applyProtection="1">
      <alignment horizontal="left" vertical="center" indent="1"/>
      <protection/>
    </xf>
    <xf numFmtId="0" fontId="26" fillId="7" borderId="21" xfId="0" applyFont="1" applyFill="1" applyBorder="1" applyAlignment="1" applyProtection="1">
      <alignment horizontal="left" vertical="center" indent="1"/>
      <protection/>
    </xf>
    <xf numFmtId="0" fontId="27" fillId="7" borderId="0" xfId="0" applyFont="1" applyFill="1" applyAlignment="1" applyProtection="1">
      <alignment vertical="center"/>
      <protection/>
    </xf>
    <xf numFmtId="169" fontId="26" fillId="7" borderId="0" xfId="63" applyNumberFormat="1" applyFont="1" applyFill="1" applyBorder="1" applyAlignment="1" applyProtection="1">
      <alignment vertical="center"/>
      <protection/>
    </xf>
    <xf numFmtId="169" fontId="27" fillId="7" borderId="0" xfId="63" applyNumberFormat="1" applyFont="1" applyFill="1" applyBorder="1" applyAlignment="1" applyProtection="1">
      <alignment vertical="center"/>
      <protection/>
    </xf>
    <xf numFmtId="169" fontId="27" fillId="7" borderId="0" xfId="63" applyNumberFormat="1" applyFont="1" applyFill="1" applyAlignment="1" applyProtection="1">
      <alignment vertical="center"/>
      <protection/>
    </xf>
    <xf numFmtId="171" fontId="27" fillId="7" borderId="22" xfId="63" applyNumberFormat="1" applyFont="1" applyFill="1" applyBorder="1" applyAlignment="1" applyProtection="1">
      <alignment vertical="center"/>
      <protection/>
    </xf>
    <xf numFmtId="171" fontId="27" fillId="7" borderId="15" xfId="0" applyNumberFormat="1" applyFont="1" applyFill="1" applyBorder="1" applyAlignment="1" applyProtection="1">
      <alignment horizontal="right" vertical="center"/>
      <protection/>
    </xf>
    <xf numFmtId="171" fontId="27" fillId="7" borderId="23" xfId="0" applyNumberFormat="1" applyFont="1" applyFill="1" applyBorder="1" applyAlignment="1" applyProtection="1">
      <alignment horizontal="right" vertical="center"/>
      <protection/>
    </xf>
    <xf numFmtId="171" fontId="26" fillId="7" borderId="22" xfId="63" applyNumberFormat="1" applyFont="1" applyFill="1" applyBorder="1" applyAlignment="1" applyProtection="1">
      <alignment vertical="center"/>
      <protection/>
    </xf>
    <xf numFmtId="171" fontId="27" fillId="7" borderId="24" xfId="63" applyNumberFormat="1" applyFont="1" applyFill="1" applyBorder="1" applyAlignment="1" applyProtection="1">
      <alignment vertical="center"/>
      <protection/>
    </xf>
    <xf numFmtId="171" fontId="27" fillId="7" borderId="15" xfId="63" applyNumberFormat="1" applyFont="1" applyFill="1" applyBorder="1" applyAlignment="1" applyProtection="1">
      <alignment vertical="center"/>
      <protection/>
    </xf>
    <xf numFmtId="171" fontId="26" fillId="7" borderId="25" xfId="63" applyNumberFormat="1" applyFont="1" applyFill="1" applyBorder="1" applyAlignment="1" applyProtection="1">
      <alignment vertical="center"/>
      <protection/>
    </xf>
    <xf numFmtId="171" fontId="26" fillId="7" borderId="15" xfId="63" applyNumberFormat="1" applyFont="1" applyFill="1" applyBorder="1" applyAlignment="1" applyProtection="1">
      <alignment vertical="center"/>
      <protection/>
    </xf>
    <xf numFmtId="216" fontId="26" fillId="7" borderId="0" xfId="63" applyNumberFormat="1" applyFont="1" applyFill="1" applyBorder="1" applyAlignment="1" applyProtection="1">
      <alignment horizontal="center" vertical="center"/>
      <protection/>
    </xf>
    <xf numFmtId="224" fontId="67" fillId="7" borderId="15" xfId="0" applyNumberFormat="1" applyFont="1" applyFill="1" applyBorder="1" applyAlignment="1" applyProtection="1">
      <alignment horizontal="center" vertical="center"/>
      <protection locked="0"/>
    </xf>
    <xf numFmtId="0" fontId="26" fillId="7" borderId="15" xfId="0" applyFont="1" applyFill="1" applyBorder="1" applyAlignment="1" applyProtection="1">
      <alignment horizontal="left" vertical="center"/>
      <protection/>
    </xf>
    <xf numFmtId="169" fontId="26" fillId="7" borderId="26" xfId="63" applyNumberFormat="1" applyFont="1" applyFill="1" applyBorder="1" applyAlignment="1" applyProtection="1">
      <alignment horizontal="center" vertical="center"/>
      <protection/>
    </xf>
    <xf numFmtId="171" fontId="27" fillId="7" borderId="24" xfId="47" applyNumberFormat="1" applyFont="1" applyFill="1" applyBorder="1" applyAlignment="1" applyProtection="1">
      <alignment vertical="center"/>
      <protection locked="0"/>
    </xf>
    <xf numFmtId="171" fontId="26" fillId="7" borderId="24" xfId="47" applyNumberFormat="1" applyFont="1" applyFill="1" applyBorder="1" applyAlignment="1" applyProtection="1">
      <alignment vertical="center"/>
      <protection locked="0"/>
    </xf>
    <xf numFmtId="171" fontId="26" fillId="7" borderId="23" xfId="47" applyNumberFormat="1" applyFont="1" applyFill="1" applyBorder="1" applyAlignment="1" applyProtection="1">
      <alignment vertical="center"/>
      <protection locked="0"/>
    </xf>
    <xf numFmtId="225" fontId="26" fillId="7" borderId="15" xfId="63" applyNumberFormat="1" applyFont="1" applyFill="1" applyBorder="1" applyAlignment="1" applyProtection="1">
      <alignment horizontal="center" vertical="center"/>
      <protection/>
    </xf>
    <xf numFmtId="0" fontId="26" fillId="7" borderId="26" xfId="0" applyFont="1" applyFill="1" applyBorder="1" applyAlignment="1" applyProtection="1">
      <alignment horizontal="left" vertical="center"/>
      <protection/>
    </xf>
    <xf numFmtId="197" fontId="27" fillId="7" borderId="24" xfId="47" applyFont="1" applyFill="1" applyBorder="1" applyAlignment="1" applyProtection="1">
      <alignment horizontal="left" vertical="center" indent="1"/>
      <protection/>
    </xf>
    <xf numFmtId="197" fontId="26" fillId="7" borderId="24" xfId="47" applyFont="1" applyFill="1" applyBorder="1" applyAlignment="1" applyProtection="1">
      <alignment horizontal="left" vertical="center" indent="1"/>
      <protection/>
    </xf>
    <xf numFmtId="197" fontId="67" fillId="7" borderId="23" xfId="47" applyFont="1" applyFill="1" applyBorder="1" applyAlignment="1" applyProtection="1">
      <alignment horizontal="left" vertical="center" indent="1"/>
      <protection/>
    </xf>
    <xf numFmtId="216" fontId="27" fillId="0" borderId="0" xfId="63" applyNumberFormat="1" applyFont="1" applyFill="1" applyBorder="1" applyAlignment="1" applyProtection="1">
      <alignment horizontal="left" vertical="center" wrapText="1" indent="1"/>
      <protection/>
    </xf>
    <xf numFmtId="216" fontId="0" fillId="0" borderId="0" xfId="63" applyNumberFormat="1" applyFont="1" applyAlignment="1">
      <alignment vertical="center"/>
    </xf>
    <xf numFmtId="0" fontId="26" fillId="7" borderId="24" xfId="0" applyFont="1" applyFill="1" applyBorder="1" applyAlignment="1" applyProtection="1">
      <alignment horizontal="left" vertical="center"/>
      <protection/>
    </xf>
    <xf numFmtId="225" fontId="26" fillId="7" borderId="26" xfId="63" applyNumberFormat="1" applyFont="1" applyFill="1" applyBorder="1" applyAlignment="1" applyProtection="1">
      <alignment horizontal="center" vertical="center"/>
      <protection/>
    </xf>
    <xf numFmtId="171" fontId="27" fillId="7" borderId="26" xfId="63" applyNumberFormat="1" applyFont="1" applyFill="1" applyBorder="1" applyAlignment="1" applyProtection="1">
      <alignment horizontal="center" vertical="center"/>
      <protection/>
    </xf>
    <xf numFmtId="0" fontId="26" fillId="7" borderId="0" xfId="0" applyFont="1" applyFill="1" applyAlignment="1" applyProtection="1">
      <alignment vertical="center"/>
      <protection/>
    </xf>
    <xf numFmtId="216" fontId="27" fillId="7" borderId="0" xfId="63" applyNumberFormat="1" applyFont="1" applyFill="1" applyAlignment="1" applyProtection="1">
      <alignment horizontal="right" vertical="center"/>
      <protection/>
    </xf>
    <xf numFmtId="0" fontId="26" fillId="7" borderId="27" xfId="0" applyFont="1" applyFill="1" applyBorder="1" applyAlignment="1" applyProtection="1">
      <alignment horizontal="center" vertical="center"/>
      <protection/>
    </xf>
    <xf numFmtId="0" fontId="26" fillId="7" borderId="0" xfId="0" applyFont="1" applyFill="1" applyBorder="1" applyAlignment="1" applyProtection="1">
      <alignment horizontal="left" vertical="center" wrapText="1" indent="2"/>
      <protection/>
    </xf>
    <xf numFmtId="171" fontId="27" fillId="7" borderId="0" xfId="63" applyNumberFormat="1" applyFont="1" applyFill="1" applyBorder="1" applyAlignment="1" applyProtection="1">
      <alignment horizontal="left" vertical="center" wrapText="1" indent="1"/>
      <protection/>
    </xf>
    <xf numFmtId="171" fontId="26" fillId="7" borderId="0" xfId="63" applyNumberFormat="1" applyFont="1" applyFill="1" applyBorder="1" applyAlignment="1" applyProtection="1">
      <alignment horizontal="left" vertical="center" wrapText="1" indent="1"/>
      <protection/>
    </xf>
    <xf numFmtId="171" fontId="26" fillId="7" borderId="24" xfId="63" applyNumberFormat="1" applyFont="1" applyFill="1" applyBorder="1" applyAlignment="1" applyProtection="1">
      <alignment horizontal="left" vertical="center" wrapText="1" indent="1"/>
      <protection/>
    </xf>
    <xf numFmtId="171" fontId="26" fillId="7" borderId="28" xfId="63" applyNumberFormat="1" applyFont="1" applyFill="1" applyBorder="1" applyAlignment="1" applyProtection="1">
      <alignment horizontal="left" vertical="center" wrapText="1" indent="1"/>
      <protection/>
    </xf>
    <xf numFmtId="0" fontId="26" fillId="7" borderId="15" xfId="63" applyNumberFormat="1" applyFont="1" applyFill="1" applyBorder="1" applyAlignment="1" applyProtection="1">
      <alignment horizontal="center" vertical="center" wrapText="1"/>
      <protection/>
    </xf>
    <xf numFmtId="171" fontId="26" fillId="7" borderId="15" xfId="63" applyNumberFormat="1" applyFont="1" applyFill="1" applyBorder="1" applyAlignment="1" applyProtection="1">
      <alignment horizontal="left" vertical="center" wrapText="1" indent="1"/>
      <protection/>
    </xf>
    <xf numFmtId="171" fontId="27" fillId="7" borderId="28" xfId="63" applyNumberFormat="1" applyFont="1" applyFill="1" applyBorder="1" applyAlignment="1" applyProtection="1">
      <alignment vertical="center" wrapText="1"/>
      <protection/>
    </xf>
    <xf numFmtId="171" fontId="27" fillId="7" borderId="24" xfId="63" applyNumberFormat="1" applyFont="1" applyFill="1" applyBorder="1" applyAlignment="1" applyProtection="1">
      <alignment vertical="center" wrapText="1"/>
      <protection/>
    </xf>
    <xf numFmtId="171" fontId="27" fillId="7" borderId="28" xfId="63" applyNumberFormat="1" applyFont="1" applyFill="1" applyBorder="1" applyAlignment="1" applyProtection="1">
      <alignment horizontal="left" vertical="center" wrapText="1" indent="1"/>
      <protection/>
    </xf>
    <xf numFmtId="171" fontId="27" fillId="7" borderId="24" xfId="63" applyNumberFormat="1" applyFont="1" applyFill="1" applyBorder="1" applyAlignment="1" applyProtection="1">
      <alignment horizontal="left" vertical="center" wrapText="1" indent="1"/>
      <protection/>
    </xf>
    <xf numFmtId="0" fontId="27" fillId="7" borderId="0" xfId="0" applyFont="1" applyFill="1" applyBorder="1" applyAlignment="1" applyProtection="1">
      <alignment horizontal="left" vertical="center" wrapText="1" indent="2"/>
      <protection/>
    </xf>
    <xf numFmtId="216" fontId="27" fillId="7" borderId="26" xfId="63" applyNumberFormat="1" applyFont="1" applyFill="1" applyBorder="1" applyAlignment="1" applyProtection="1">
      <alignment horizontal="left" vertical="center" wrapText="1" indent="1"/>
      <protection/>
    </xf>
    <xf numFmtId="216" fontId="27" fillId="7" borderId="29" xfId="63" applyNumberFormat="1" applyFont="1" applyFill="1" applyBorder="1" applyAlignment="1" applyProtection="1">
      <alignment horizontal="left" vertical="center" wrapText="1" indent="1"/>
      <protection/>
    </xf>
    <xf numFmtId="0" fontId="67" fillId="7" borderId="15" xfId="0" applyFont="1" applyFill="1" applyBorder="1" applyAlignment="1" applyProtection="1">
      <alignment horizontal="left" vertical="center" wrapText="1" indent="2"/>
      <protection/>
    </xf>
    <xf numFmtId="171" fontId="67" fillId="7" borderId="15" xfId="63" applyNumberFormat="1" applyFont="1" applyFill="1" applyBorder="1" applyAlignment="1" applyProtection="1">
      <alignment horizontal="left" vertical="center" wrapText="1" indent="1"/>
      <protection/>
    </xf>
    <xf numFmtId="171" fontId="27" fillId="7" borderId="0" xfId="63" applyNumberFormat="1" applyFont="1" applyFill="1" applyBorder="1" applyAlignment="1" applyProtection="1">
      <alignment vertical="center" wrapText="1"/>
      <protection/>
    </xf>
    <xf numFmtId="0" fontId="26" fillId="7" borderId="30" xfId="63" applyNumberFormat="1" applyFont="1" applyFill="1" applyBorder="1" applyAlignment="1" applyProtection="1">
      <alignment horizontal="center" vertical="center" wrapText="1"/>
      <protection/>
    </xf>
    <xf numFmtId="0" fontId="26" fillId="7" borderId="26" xfId="0" applyFont="1" applyFill="1" applyBorder="1" applyAlignment="1" applyProtection="1">
      <alignment horizontal="left" vertical="center" wrapText="1"/>
      <protection/>
    </xf>
    <xf numFmtId="0" fontId="27" fillId="7" borderId="24" xfId="0" applyFont="1" applyFill="1" applyBorder="1" applyAlignment="1" applyProtection="1">
      <alignment horizontal="left" vertical="center" wrapText="1" indent="1"/>
      <protection/>
    </xf>
    <xf numFmtId="0" fontId="26" fillId="7" borderId="23" xfId="0" applyFont="1" applyFill="1" applyBorder="1" applyAlignment="1" applyProtection="1">
      <alignment horizontal="left" vertical="center" indent="1"/>
      <protection/>
    </xf>
    <xf numFmtId="0" fontId="26" fillId="7" borderId="26" xfId="0" applyFont="1" applyFill="1" applyBorder="1" applyAlignment="1" applyProtection="1">
      <alignment horizontal="left" vertical="center" indent="1"/>
      <protection/>
    </xf>
    <xf numFmtId="0" fontId="26" fillId="7" borderId="23" xfId="0" applyFont="1" applyFill="1" applyBorder="1" applyAlignment="1" applyProtection="1">
      <alignment horizontal="left" vertical="center" wrapText="1" indent="2"/>
      <protection/>
    </xf>
    <xf numFmtId="0" fontId="26" fillId="7" borderId="24" xfId="0" applyFont="1" applyFill="1" applyBorder="1" applyAlignment="1" applyProtection="1">
      <alignment horizontal="left" vertical="center" indent="1"/>
      <protection/>
    </xf>
    <xf numFmtId="171" fontId="26" fillId="7" borderId="26" xfId="63" applyNumberFormat="1" applyFont="1" applyFill="1" applyBorder="1" applyAlignment="1" applyProtection="1">
      <alignment horizontal="left" vertical="center" wrapText="1" indent="1"/>
      <protection/>
    </xf>
    <xf numFmtId="171" fontId="27" fillId="7" borderId="23" xfId="63" applyNumberFormat="1" applyFont="1" applyFill="1" applyBorder="1" applyAlignment="1" applyProtection="1">
      <alignment horizontal="left" vertical="center" wrapText="1" indent="1"/>
      <protection/>
    </xf>
    <xf numFmtId="0" fontId="5" fillId="7" borderId="15" xfId="0" applyFont="1" applyFill="1" applyBorder="1" applyAlignment="1" applyProtection="1">
      <alignment horizontal="left" vertical="center" wrapText="1" indent="2"/>
      <protection/>
    </xf>
    <xf numFmtId="171" fontId="5" fillId="7" borderId="15" xfId="63" applyNumberFormat="1" applyFont="1" applyFill="1" applyBorder="1" applyAlignment="1" applyProtection="1">
      <alignment horizontal="left" vertical="center" wrapText="1" indent="1"/>
      <protection/>
    </xf>
    <xf numFmtId="0" fontId="0" fillId="7" borderId="0" xfId="0" applyFill="1" applyAlignment="1">
      <alignment horizontal="center" vertical="center"/>
    </xf>
    <xf numFmtId="171" fontId="27" fillId="7" borderId="26" xfId="63" applyNumberFormat="1" applyFont="1" applyFill="1" applyBorder="1" applyAlignment="1" applyProtection="1">
      <alignment horizontal="left" vertical="center" wrapText="1" indent="1"/>
      <protection/>
    </xf>
    <xf numFmtId="0" fontId="5" fillId="7" borderId="20" xfId="0" applyNumberFormat="1" applyFont="1" applyFill="1" applyBorder="1" applyAlignment="1" applyProtection="1">
      <alignment horizontal="center" vertical="center"/>
      <protection locked="0"/>
    </xf>
    <xf numFmtId="198" fontId="5" fillId="7" borderId="31" xfId="0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 applyProtection="1">
      <alignment horizontal="center" vertical="center"/>
      <protection locked="0"/>
    </xf>
    <xf numFmtId="197" fontId="5" fillId="7" borderId="32" xfId="47" applyFont="1" applyFill="1" applyBorder="1" applyAlignment="1">
      <alignment horizontal="center" vertical="center"/>
    </xf>
    <xf numFmtId="0" fontId="5" fillId="7" borderId="23" xfId="50" applyFont="1" applyFill="1" applyBorder="1" applyAlignment="1">
      <alignment vertical="center"/>
      <protection/>
    </xf>
    <xf numFmtId="0" fontId="5" fillId="7" borderId="23" xfId="50" applyNumberFormat="1" applyFont="1" applyFill="1" applyBorder="1" applyAlignment="1">
      <alignment vertical="center" wrapText="1"/>
      <protection/>
    </xf>
    <xf numFmtId="0" fontId="5" fillId="7" borderId="15" xfId="50" applyFont="1" applyFill="1" applyBorder="1" applyAlignment="1">
      <alignment vertical="center"/>
      <protection/>
    </xf>
    <xf numFmtId="0" fontId="5" fillId="7" borderId="15" xfId="50" applyNumberFormat="1" applyFont="1" applyFill="1" applyBorder="1" applyAlignment="1">
      <alignment vertical="center" wrapText="1"/>
      <protection/>
    </xf>
    <xf numFmtId="0" fontId="0" fillId="7" borderId="15" xfId="50" applyFont="1" applyFill="1" applyBorder="1" applyAlignment="1">
      <alignment vertical="center"/>
      <protection/>
    </xf>
    <xf numFmtId="0" fontId="0" fillId="7" borderId="15" xfId="50" applyNumberFormat="1" applyFont="1" applyFill="1" applyBorder="1" applyAlignment="1">
      <alignment vertical="center" wrapText="1"/>
      <protection/>
    </xf>
    <xf numFmtId="0" fontId="0" fillId="7" borderId="15" xfId="50" applyFont="1" applyFill="1" applyBorder="1" applyAlignment="1">
      <alignment vertical="center" wrapText="1"/>
      <protection/>
    </xf>
    <xf numFmtId="214" fontId="0" fillId="7" borderId="15" xfId="50" applyNumberFormat="1" applyFont="1" applyFill="1" applyBorder="1" applyAlignment="1">
      <alignment vertical="center" wrapText="1"/>
      <protection/>
    </xf>
    <xf numFmtId="0" fontId="5" fillId="7" borderId="30" xfId="50" applyFont="1" applyFill="1" applyBorder="1" applyAlignment="1">
      <alignment vertical="center"/>
      <protection/>
    </xf>
    <xf numFmtId="0" fontId="0" fillId="7" borderId="30" xfId="50" applyFont="1" applyFill="1" applyBorder="1" applyAlignment="1">
      <alignment vertical="center"/>
      <protection/>
    </xf>
    <xf numFmtId="0" fontId="5" fillId="7" borderId="21" xfId="0" applyFont="1" applyFill="1" applyBorder="1" applyAlignment="1">
      <alignment/>
    </xf>
    <xf numFmtId="0" fontId="5" fillId="7" borderId="33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0" fillId="7" borderId="0" xfId="0" applyFont="1" applyFill="1" applyBorder="1" applyAlignment="1">
      <alignment wrapText="1"/>
    </xf>
    <xf numFmtId="198" fontId="29" fillId="7" borderId="34" xfId="0" applyNumberFormat="1" applyFont="1" applyFill="1" applyBorder="1" applyAlignment="1" applyProtection="1">
      <alignment horizontal="center"/>
      <protection locked="0"/>
    </xf>
    <xf numFmtId="198" fontId="29" fillId="7" borderId="35" xfId="0" applyNumberFormat="1" applyFont="1" applyFill="1" applyBorder="1" applyAlignment="1" applyProtection="1">
      <alignment horizontal="center"/>
      <protection locked="0"/>
    </xf>
    <xf numFmtId="198" fontId="29" fillId="7" borderId="36" xfId="0" applyNumberFormat="1" applyFont="1" applyFill="1" applyBorder="1" applyAlignment="1" applyProtection="1">
      <alignment horizontal="center"/>
      <protection locked="0"/>
    </xf>
    <xf numFmtId="198" fontId="29" fillId="7" borderId="37" xfId="0" applyNumberFormat="1" applyFont="1" applyFill="1" applyBorder="1" applyAlignment="1" applyProtection="1">
      <alignment horizontal="center"/>
      <protection locked="0"/>
    </xf>
    <xf numFmtId="198" fontId="5" fillId="7" borderId="10" xfId="0" applyNumberFormat="1" applyFont="1" applyFill="1" applyBorder="1" applyAlignment="1">
      <alignment horizontal="center" vertical="center"/>
    </xf>
    <xf numFmtId="198" fontId="5" fillId="7" borderId="11" xfId="0" applyNumberFormat="1" applyFont="1" applyFill="1" applyBorder="1" applyAlignment="1">
      <alignment horizontal="center" vertical="center"/>
    </xf>
    <xf numFmtId="171" fontId="29" fillId="7" borderId="10" xfId="0" applyNumberFormat="1" applyFont="1" applyFill="1" applyBorder="1" applyAlignment="1" applyProtection="1">
      <alignment horizontal="right"/>
      <protection locked="0"/>
    </xf>
    <xf numFmtId="171" fontId="5" fillId="7" borderId="15" xfId="0" applyNumberFormat="1" applyFont="1" applyFill="1" applyBorder="1" applyAlignment="1">
      <alignment/>
    </xf>
    <xf numFmtId="171" fontId="0" fillId="7" borderId="15" xfId="0" applyNumberFormat="1" applyFont="1" applyFill="1" applyBorder="1" applyAlignment="1">
      <alignment/>
    </xf>
    <xf numFmtId="171" fontId="67" fillId="7" borderId="15" xfId="0" applyNumberFormat="1" applyFont="1" applyFill="1" applyBorder="1" applyAlignment="1">
      <alignment/>
    </xf>
    <xf numFmtId="185" fontId="5" fillId="7" borderId="15" xfId="0" applyNumberFormat="1" applyFont="1" applyFill="1" applyBorder="1" applyAlignment="1">
      <alignment/>
    </xf>
    <xf numFmtId="185" fontId="5" fillId="7" borderId="0" xfId="0" applyNumberFormat="1" applyFont="1" applyFill="1" applyBorder="1" applyAlignment="1">
      <alignment/>
    </xf>
    <xf numFmtId="1" fontId="5" fillId="7" borderId="0" xfId="0" applyNumberFormat="1" applyFont="1" applyFill="1" applyBorder="1" applyAlignment="1">
      <alignment horizontal="center"/>
    </xf>
    <xf numFmtId="185" fontId="5" fillId="39" borderId="0" xfId="0" applyNumberFormat="1" applyFont="1" applyFill="1" applyBorder="1" applyAlignment="1">
      <alignment/>
    </xf>
    <xf numFmtId="0" fontId="9" fillId="7" borderId="20" xfId="0" applyNumberFormat="1" applyFont="1" applyFill="1" applyBorder="1" applyAlignment="1" applyProtection="1">
      <alignment horizontal="center" vertical="center"/>
      <protection locked="0"/>
    </xf>
    <xf numFmtId="198" fontId="1" fillId="7" borderId="31" xfId="0" applyNumberFormat="1" applyFont="1" applyFill="1" applyBorder="1" applyAlignment="1">
      <alignment horizontal="center" vertical="center"/>
    </xf>
    <xf numFmtId="0" fontId="9" fillId="7" borderId="0" xfId="0" applyNumberFormat="1" applyFont="1" applyFill="1" applyBorder="1" applyAlignment="1" applyProtection="1">
      <alignment horizontal="center" vertical="center"/>
      <protection locked="0"/>
    </xf>
    <xf numFmtId="197" fontId="1" fillId="7" borderId="32" xfId="47" applyFont="1" applyFill="1" applyBorder="1" applyAlignment="1">
      <alignment horizontal="center" vertical="center"/>
    </xf>
    <xf numFmtId="0" fontId="1" fillId="7" borderId="28" xfId="0" applyFont="1" applyFill="1" applyBorder="1" applyAlignment="1">
      <alignment/>
    </xf>
    <xf numFmtId="0" fontId="1" fillId="7" borderId="38" xfId="0" applyFont="1" applyFill="1" applyBorder="1" applyAlignment="1">
      <alignment/>
    </xf>
    <xf numFmtId="0" fontId="2" fillId="7" borderId="28" xfId="0" applyFont="1" applyFill="1" applyBorder="1" applyAlignment="1">
      <alignment/>
    </xf>
    <xf numFmtId="0" fontId="2" fillId="7" borderId="38" xfId="0" applyFont="1" applyFill="1" applyBorder="1" applyAlignment="1">
      <alignment/>
    </xf>
    <xf numFmtId="0" fontId="1" fillId="7" borderId="28" xfId="0" applyFont="1" applyFill="1" applyBorder="1" applyAlignment="1">
      <alignment/>
    </xf>
    <xf numFmtId="0" fontId="2" fillId="7" borderId="21" xfId="0" applyFont="1" applyFill="1" applyBorder="1" applyAlignment="1">
      <alignment/>
    </xf>
    <xf numFmtId="0" fontId="8" fillId="7" borderId="33" xfId="0" applyFont="1" applyFill="1" applyBorder="1" applyAlignment="1">
      <alignment/>
    </xf>
    <xf numFmtId="185" fontId="1" fillId="7" borderId="15" xfId="0" applyNumberFormat="1" applyFont="1" applyFill="1" applyBorder="1" applyAlignment="1">
      <alignment/>
    </xf>
    <xf numFmtId="185" fontId="8" fillId="7" borderId="15" xfId="0" applyNumberFormat="1" applyFont="1" applyFill="1" applyBorder="1" applyAlignment="1">
      <alignment/>
    </xf>
    <xf numFmtId="0" fontId="26" fillId="40" borderId="27" xfId="0" applyFont="1" applyFill="1" applyBorder="1" applyAlignment="1" applyProtection="1">
      <alignment horizontal="center" vertical="center"/>
      <protection/>
    </xf>
    <xf numFmtId="0" fontId="26" fillId="40" borderId="15" xfId="0" applyFont="1" applyFill="1" applyBorder="1" applyAlignment="1" applyProtection="1">
      <alignment horizontal="center" vertical="center"/>
      <protection/>
    </xf>
    <xf numFmtId="49" fontId="26" fillId="40" borderId="27" xfId="0" applyNumberFormat="1" applyFont="1" applyFill="1" applyBorder="1" applyAlignment="1" applyProtection="1">
      <alignment vertical="center"/>
      <protection/>
    </xf>
    <xf numFmtId="171" fontId="26" fillId="40" borderId="15" xfId="0" applyNumberFormat="1" applyFont="1" applyFill="1" applyBorder="1" applyAlignment="1" applyProtection="1">
      <alignment vertical="center"/>
      <protection/>
    </xf>
    <xf numFmtId="49" fontId="26" fillId="40" borderId="27" xfId="0" applyNumberFormat="1" applyFont="1" applyFill="1" applyBorder="1" applyAlignment="1" applyProtection="1">
      <alignment horizontal="left" vertical="center"/>
      <protection/>
    </xf>
    <xf numFmtId="171" fontId="26" fillId="40" borderId="15" xfId="0" applyNumberFormat="1" applyFont="1" applyFill="1" applyBorder="1" applyAlignment="1" applyProtection="1">
      <alignment horizontal="left" vertical="center"/>
      <protection/>
    </xf>
    <xf numFmtId="49" fontId="27" fillId="40" borderId="0" xfId="0" applyNumberFormat="1" applyFont="1" applyFill="1" applyBorder="1" applyAlignment="1" applyProtection="1">
      <alignment horizontal="left" vertical="center"/>
      <protection/>
    </xf>
    <xf numFmtId="171" fontId="27" fillId="40" borderId="15" xfId="0" applyNumberFormat="1" applyFont="1" applyFill="1" applyBorder="1" applyAlignment="1" applyProtection="1">
      <alignment horizontal="left" vertical="center"/>
      <protection/>
    </xf>
    <xf numFmtId="0" fontId="27" fillId="40" borderId="0" xfId="0" applyFont="1" applyFill="1" applyAlignment="1" applyProtection="1">
      <alignment horizontal="left" vertical="center" indent="1"/>
      <protection/>
    </xf>
    <xf numFmtId="171" fontId="27" fillId="40" borderId="15" xfId="0" applyNumberFormat="1" applyFont="1" applyFill="1" applyBorder="1" applyAlignment="1" applyProtection="1">
      <alignment horizontal="left" vertical="center" indent="1"/>
      <protection/>
    </xf>
    <xf numFmtId="49" fontId="27" fillId="40" borderId="0" xfId="0" applyNumberFormat="1" applyFont="1" applyFill="1" applyBorder="1" applyAlignment="1" applyProtection="1">
      <alignment horizontal="left" vertical="center" indent="1"/>
      <protection/>
    </xf>
    <xf numFmtId="0" fontId="26" fillId="7" borderId="0" xfId="0" applyNumberFormat="1" applyFont="1" applyFill="1" applyAlignment="1" applyProtection="1">
      <alignment horizontal="center" vertical="center" wrapText="1"/>
      <protection/>
    </xf>
    <xf numFmtId="0" fontId="28" fillId="7" borderId="0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  <xf numFmtId="1" fontId="26" fillId="7" borderId="15" xfId="63" applyNumberFormat="1" applyFont="1" applyFill="1" applyBorder="1" applyAlignment="1" applyProtection="1">
      <alignment horizontal="center" vertical="center" wrapText="1"/>
      <protection/>
    </xf>
    <xf numFmtId="0" fontId="27" fillId="7" borderId="15" xfId="63" applyNumberFormat="1" applyFont="1" applyFill="1" applyBorder="1" applyAlignment="1" applyProtection="1">
      <alignment horizontal="left" vertical="center"/>
      <protection/>
    </xf>
    <xf numFmtId="171" fontId="27" fillId="7" borderId="15" xfId="63" applyNumberFormat="1" applyFont="1" applyFill="1" applyBorder="1" applyAlignment="1" applyProtection="1">
      <alignment horizontal="left" vertical="center" indent="2"/>
      <protection/>
    </xf>
    <xf numFmtId="49" fontId="0" fillId="7" borderId="0" xfId="0" applyNumberFormat="1" applyFont="1" applyFill="1" applyAlignment="1" applyProtection="1">
      <alignment vertical="center"/>
      <protection/>
    </xf>
    <xf numFmtId="216" fontId="0" fillId="7" borderId="0" xfId="63" applyNumberFormat="1" applyFont="1" applyFill="1" applyAlignment="1" applyProtection="1">
      <alignment vertical="center"/>
      <protection/>
    </xf>
    <xf numFmtId="0" fontId="27" fillId="7" borderId="26" xfId="63" applyNumberFormat="1" applyFont="1" applyFill="1" applyBorder="1" applyAlignment="1" applyProtection="1">
      <alignment horizontal="left" vertical="center"/>
      <protection/>
    </xf>
    <xf numFmtId="0" fontId="27" fillId="7" borderId="24" xfId="63" applyNumberFormat="1" applyFont="1" applyFill="1" applyBorder="1" applyAlignment="1" applyProtection="1">
      <alignment horizontal="left" vertical="center"/>
      <protection/>
    </xf>
    <xf numFmtId="0" fontId="27" fillId="7" borderId="23" xfId="63" applyNumberFormat="1" applyFont="1" applyFill="1" applyBorder="1" applyAlignment="1" applyProtection="1">
      <alignment horizontal="left" vertical="center"/>
      <protection/>
    </xf>
    <xf numFmtId="197" fontId="67" fillId="7" borderId="23" xfId="47" applyFont="1" applyFill="1" applyBorder="1" applyAlignment="1" applyProtection="1">
      <alignment horizontal="left" vertical="center" wrapText="1" indent="1"/>
      <protection/>
    </xf>
    <xf numFmtId="198" fontId="9" fillId="7" borderId="34" xfId="0" applyNumberFormat="1" applyFont="1" applyFill="1" applyBorder="1" applyAlignment="1" applyProtection="1">
      <alignment horizontal="center" wrapText="1"/>
      <protection locked="0"/>
    </xf>
    <xf numFmtId="198" fontId="9" fillId="7" borderId="35" xfId="0" applyNumberFormat="1" applyFont="1" applyFill="1" applyBorder="1" applyAlignment="1" applyProtection="1">
      <alignment horizontal="center" wrapText="1"/>
      <protection locked="0"/>
    </xf>
    <xf numFmtId="198" fontId="9" fillId="7" borderId="36" xfId="0" applyNumberFormat="1" applyFont="1" applyFill="1" applyBorder="1" applyAlignment="1" applyProtection="1">
      <alignment horizontal="center" wrapText="1"/>
      <protection locked="0"/>
    </xf>
    <xf numFmtId="198" fontId="9" fillId="7" borderId="37" xfId="0" applyNumberFormat="1" applyFont="1" applyFill="1" applyBorder="1" applyAlignment="1" applyProtection="1">
      <alignment horizontal="center" wrapText="1"/>
      <protection locked="0"/>
    </xf>
    <xf numFmtId="198" fontId="1" fillId="7" borderId="10" xfId="0" applyNumberFormat="1" applyFont="1" applyFill="1" applyBorder="1" applyAlignment="1">
      <alignment horizontal="center" vertical="center" wrapText="1"/>
    </xf>
    <xf numFmtId="198" fontId="1" fillId="7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38" fontId="15" fillId="0" borderId="39" xfId="0" applyNumberFormat="1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8" fontId="9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38" fontId="26" fillId="40" borderId="0" xfId="0" applyNumberFormat="1" applyFont="1" applyFill="1" applyAlignment="1" applyProtection="1">
      <alignment horizontal="center" vertical="center" wrapText="1"/>
      <protection/>
    </xf>
    <xf numFmtId="0" fontId="0" fillId="7" borderId="0" xfId="0" applyFill="1" applyAlignment="1">
      <alignment horizontal="center" vertical="center" wrapText="1"/>
    </xf>
    <xf numFmtId="38" fontId="26" fillId="7" borderId="0" xfId="0" applyNumberFormat="1" applyFont="1" applyFill="1" applyAlignment="1" applyProtection="1">
      <alignment horizontal="center" vertical="center" wrapText="1"/>
      <protection/>
    </xf>
    <xf numFmtId="0" fontId="26" fillId="40" borderId="0" xfId="0" applyFont="1" applyFill="1" applyAlignment="1" applyProtection="1">
      <alignment horizontal="center" vertical="center" wrapText="1"/>
      <protection/>
    </xf>
    <xf numFmtId="0" fontId="26" fillId="40" borderId="0" xfId="0" applyFont="1" applyFill="1" applyAlignment="1" applyProtection="1">
      <alignment horizontal="center" vertical="center" wrapText="1"/>
      <protection/>
    </xf>
    <xf numFmtId="0" fontId="26" fillId="40" borderId="21" xfId="0" applyFont="1" applyFill="1" applyBorder="1" applyAlignment="1" applyProtection="1">
      <alignment horizontal="center" vertical="center"/>
      <protection/>
    </xf>
    <xf numFmtId="0" fontId="5" fillId="7" borderId="21" xfId="0" applyFont="1" applyFill="1" applyBorder="1" applyAlignment="1">
      <alignment vertical="center"/>
    </xf>
    <xf numFmtId="0" fontId="26" fillId="7" borderId="19" xfId="0" applyFont="1" applyFill="1" applyBorder="1" applyAlignment="1" applyProtection="1">
      <alignment horizontal="center" vertical="center"/>
      <protection/>
    </xf>
    <xf numFmtId="0" fontId="26" fillId="7" borderId="27" xfId="0" applyFont="1" applyFill="1" applyBorder="1" applyAlignment="1" applyProtection="1">
      <alignment horizontal="center" vertical="center"/>
      <protection/>
    </xf>
    <xf numFmtId="0" fontId="0" fillId="7" borderId="30" xfId="0" applyFill="1" applyBorder="1" applyAlignment="1">
      <alignment horizontal="center" vertical="center"/>
    </xf>
    <xf numFmtId="49" fontId="26" fillId="7" borderId="20" xfId="0" applyNumberFormat="1" applyFont="1" applyFill="1" applyBorder="1" applyAlignment="1" applyProtection="1">
      <alignment horizontal="center" vertical="center" wrapText="1"/>
      <protection/>
    </xf>
    <xf numFmtId="0" fontId="26" fillId="7" borderId="21" xfId="0" applyFont="1" applyFill="1" applyBorder="1" applyAlignment="1" applyProtection="1">
      <alignment horizontal="center" vertical="center" wrapText="1"/>
      <protection/>
    </xf>
    <xf numFmtId="38" fontId="26" fillId="7" borderId="0" xfId="0" applyNumberFormat="1" applyFont="1" applyFill="1" applyAlignment="1" applyProtection="1">
      <alignment horizontal="center" vertical="center"/>
      <protection/>
    </xf>
    <xf numFmtId="0" fontId="0" fillId="7" borderId="0" xfId="0" applyFill="1" applyAlignment="1">
      <alignment horizontal="center" vertical="center"/>
    </xf>
    <xf numFmtId="0" fontId="26" fillId="7" borderId="0" xfId="0" applyNumberFormat="1" applyFont="1" applyFill="1" applyAlignment="1" applyProtection="1">
      <alignment horizontal="center" vertical="center" wrapText="1"/>
      <protection/>
    </xf>
    <xf numFmtId="49" fontId="26" fillId="7" borderId="15" xfId="0" applyNumberFormat="1" applyFont="1" applyFill="1" applyBorder="1" applyAlignment="1" applyProtection="1">
      <alignment horizontal="center" vertical="center" wrapText="1"/>
      <protection/>
    </xf>
    <xf numFmtId="0" fontId="26" fillId="7" borderId="15" xfId="0" applyFont="1" applyFill="1" applyBorder="1" applyAlignment="1" applyProtection="1">
      <alignment horizontal="center" vertical="center" wrapText="1"/>
      <protection/>
    </xf>
    <xf numFmtId="0" fontId="26" fillId="7" borderId="19" xfId="63" applyNumberFormat="1" applyFont="1" applyFill="1" applyBorder="1" applyAlignment="1" applyProtection="1">
      <alignment horizontal="center" vertical="center"/>
      <protection/>
    </xf>
    <xf numFmtId="0" fontId="26" fillId="7" borderId="27" xfId="63" applyNumberFormat="1" applyFont="1" applyFill="1" applyBorder="1" applyAlignment="1" applyProtection="1">
      <alignment horizontal="center" vertical="center"/>
      <protection/>
    </xf>
    <xf numFmtId="0" fontId="28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38" fontId="26" fillId="7" borderId="0" xfId="0" applyNumberFormat="1" applyFont="1" applyFill="1" applyAlignment="1" applyProtection="1">
      <alignment horizontal="center" vertical="center" wrapText="1"/>
      <protection/>
    </xf>
    <xf numFmtId="0" fontId="26" fillId="7" borderId="0" xfId="0" applyFont="1" applyFill="1" applyAlignment="1" applyProtection="1">
      <alignment horizontal="center" vertical="center" wrapText="1"/>
      <protection/>
    </xf>
    <xf numFmtId="0" fontId="26" fillId="7" borderId="0" xfId="0" applyFont="1" applyFill="1" applyAlignment="1" applyProtection="1">
      <alignment horizontal="center" vertical="center"/>
      <protection/>
    </xf>
    <xf numFmtId="0" fontId="28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26" fillId="7" borderId="20" xfId="0" applyFont="1" applyFill="1" applyBorder="1" applyAlignment="1" applyProtection="1">
      <alignment horizontal="center" vertical="center"/>
      <protection/>
    </xf>
    <xf numFmtId="0" fontId="26" fillId="7" borderId="0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26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" fontId="26" fillId="7" borderId="26" xfId="0" applyNumberFormat="1" applyFont="1" applyFill="1" applyBorder="1" applyAlignment="1" applyProtection="1">
      <alignment horizontal="center" vertical="center"/>
      <protection/>
    </xf>
    <xf numFmtId="0" fontId="28" fillId="7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216" fontId="26" fillId="7" borderId="20" xfId="6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66675</xdr:rowOff>
    </xdr:from>
    <xdr:to>
      <xdr:col>5</xdr:col>
      <xdr:colOff>581025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1925" y="2600325"/>
          <a:ext cx="82486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origem/espécie/rubrica de receita e/ou grupo de natureza de despesa.</a:t>
          </a:r>
        </a:p>
      </xdr:txBody>
    </xdr:sp>
    <xdr:clientData/>
  </xdr:twoCellAnchor>
  <xdr:twoCellAnchor>
    <xdr:from>
      <xdr:col>0</xdr:col>
      <xdr:colOff>1971675</xdr:colOff>
      <xdr:row>23</xdr:row>
      <xdr:rowOff>0</xdr:rowOff>
    </xdr:from>
    <xdr:to>
      <xdr:col>5</xdr:col>
      <xdr:colOff>314325</xdr:colOff>
      <xdr:row>23</xdr:row>
      <xdr:rowOff>0</xdr:rowOff>
    </xdr:to>
    <xdr:sp>
      <xdr:nvSpPr>
        <xdr:cNvPr id="2" name="Line 6"/>
        <xdr:cNvSpPr>
          <a:spLocks/>
        </xdr:cNvSpPr>
      </xdr:nvSpPr>
      <xdr:spPr>
        <a:xfrm>
          <a:off x="1971675" y="2990850"/>
          <a:ext cx="617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23</xdr:row>
      <xdr:rowOff>0</xdr:rowOff>
    </xdr:from>
    <xdr:to>
      <xdr:col>5</xdr:col>
      <xdr:colOff>381000</xdr:colOff>
      <xdr:row>23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201025" y="2990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0</xdr:row>
      <xdr:rowOff>0</xdr:rowOff>
    </xdr:from>
    <xdr:ext cx="45243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9150" y="0"/>
          <a:ext cx="452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0</xdr:row>
      <xdr:rowOff>0</xdr:rowOff>
    </xdr:from>
    <xdr:ext cx="102870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9150" y="0"/>
          <a:ext cx="10287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0</xdr:row>
      <xdr:rowOff>0</xdr:rowOff>
    </xdr:from>
    <xdr:ext cx="161734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9150" y="0"/>
          <a:ext cx="1617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2752725</xdr:colOff>
      <xdr:row>8</xdr:row>
      <xdr:rowOff>114300</xdr:rowOff>
    </xdr:from>
    <xdr:ext cx="220599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752725" y="1409700"/>
          <a:ext cx="22059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7:I23"/>
  <sheetViews>
    <sheetView showGridLines="0" zoomScaleSheetLayoutView="70" zoomScalePageLayoutView="0" workbookViewId="0" topLeftCell="A7">
      <selection activeCell="H21" sqref="H21"/>
    </sheetView>
  </sheetViews>
  <sheetFormatPr defaultColWidth="8.8515625" defaultRowHeight="12.75"/>
  <cols>
    <col min="1" max="1" width="82.57421875" style="27" customWidth="1"/>
    <col min="2" max="6" width="8.7109375" style="27" customWidth="1"/>
    <col min="7" max="16384" width="8.8515625" style="27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9" ht="12">
      <c r="A7" s="232" t="s">
        <v>448</v>
      </c>
      <c r="B7" s="233"/>
      <c r="C7" s="233"/>
      <c r="D7" s="233"/>
      <c r="E7" s="233"/>
      <c r="F7" s="233"/>
      <c r="G7" s="233"/>
      <c r="H7" s="233"/>
      <c r="I7" s="234"/>
    </row>
    <row r="8" spans="1:9" ht="12">
      <c r="A8" s="235" t="s">
        <v>233</v>
      </c>
      <c r="B8" s="233"/>
      <c r="C8" s="233"/>
      <c r="D8" s="233"/>
      <c r="E8" s="233"/>
      <c r="F8" s="233"/>
      <c r="G8" s="233"/>
      <c r="H8" s="233"/>
      <c r="I8" s="234"/>
    </row>
    <row r="9" spans="1:9" ht="21" customHeight="1">
      <c r="A9" s="236" t="s">
        <v>434</v>
      </c>
      <c r="B9" s="237"/>
      <c r="C9" s="237"/>
      <c r="D9" s="237"/>
      <c r="E9" s="237"/>
      <c r="F9" s="237"/>
      <c r="G9" s="238"/>
      <c r="H9" s="238"/>
      <c r="I9" s="239"/>
    </row>
    <row r="10" spans="1:9" ht="25.5" customHeight="1">
      <c r="A10" s="60" t="s">
        <v>202</v>
      </c>
      <c r="B10" s="60">
        <v>2021</v>
      </c>
      <c r="C10" s="60">
        <f>B10+1</f>
        <v>2022</v>
      </c>
      <c r="D10" s="60">
        <f>C10+1</f>
        <v>2023</v>
      </c>
      <c r="E10" s="60">
        <f>D10+1</f>
        <v>2024</v>
      </c>
      <c r="F10" s="60">
        <f>E10+1</f>
        <v>2025</v>
      </c>
      <c r="G10" s="28"/>
      <c r="H10" s="28"/>
      <c r="I10" s="28"/>
    </row>
    <row r="11" spans="1:6" ht="12.75">
      <c r="A11" s="61" t="s">
        <v>30</v>
      </c>
      <c r="B11" s="64">
        <v>0.048</v>
      </c>
      <c r="C11" s="64">
        <v>0.0359</v>
      </c>
      <c r="D11" s="64">
        <v>0.0333</v>
      </c>
      <c r="E11" s="64">
        <v>0.0323</v>
      </c>
      <c r="F11" s="64">
        <v>0.0321</v>
      </c>
    </row>
    <row r="12" spans="1:6" ht="12.75">
      <c r="A12" s="61" t="s">
        <v>31</v>
      </c>
      <c r="B12" s="64">
        <v>0.0316</v>
      </c>
      <c r="C12" s="64">
        <v>0.0234</v>
      </c>
      <c r="D12" s="64">
        <v>0.0241</v>
      </c>
      <c r="E12" s="64">
        <v>0.0242</v>
      </c>
      <c r="F12" s="64">
        <v>0.024</v>
      </c>
    </row>
    <row r="13" spans="1:6" ht="12.75">
      <c r="A13" s="62" t="s">
        <v>32</v>
      </c>
      <c r="B13" s="64">
        <v>0.05</v>
      </c>
      <c r="C13" s="64">
        <v>0.05</v>
      </c>
      <c r="D13" s="64">
        <v>0.05</v>
      </c>
      <c r="E13" s="64">
        <v>0.05</v>
      </c>
      <c r="F13" s="64">
        <v>0.05</v>
      </c>
    </row>
    <row r="14" spans="1:6" ht="12.75">
      <c r="A14" s="63" t="s">
        <v>234</v>
      </c>
      <c r="B14" s="64">
        <v>0.05</v>
      </c>
      <c r="C14" s="64">
        <v>0.05</v>
      </c>
      <c r="D14" s="64">
        <v>0.05</v>
      </c>
      <c r="E14" s="64">
        <v>0.05</v>
      </c>
      <c r="F14" s="64">
        <v>0.05</v>
      </c>
    </row>
    <row r="15" spans="1:6" ht="12.75">
      <c r="A15" s="63" t="s">
        <v>238</v>
      </c>
      <c r="B15" s="64">
        <v>0.05</v>
      </c>
      <c r="C15" s="64">
        <v>0.05</v>
      </c>
      <c r="D15" s="64">
        <v>0.05</v>
      </c>
      <c r="E15" s="64">
        <v>0.05</v>
      </c>
      <c r="F15" s="64">
        <v>0.05</v>
      </c>
    </row>
    <row r="16" spans="1:6" ht="12.75">
      <c r="A16" s="63" t="s">
        <v>240</v>
      </c>
      <c r="B16" s="64">
        <v>0.07</v>
      </c>
      <c r="C16" s="64">
        <v>0.07</v>
      </c>
      <c r="D16" s="64">
        <v>0.07</v>
      </c>
      <c r="E16" s="64">
        <v>0.07</v>
      </c>
      <c r="F16" s="64">
        <v>0.07</v>
      </c>
    </row>
    <row r="17" spans="1:6" ht="12.75">
      <c r="A17" s="63" t="s">
        <v>241</v>
      </c>
      <c r="B17" s="64">
        <v>0.07</v>
      </c>
      <c r="C17" s="64">
        <v>0.07</v>
      </c>
      <c r="D17" s="64">
        <v>0.07</v>
      </c>
      <c r="E17" s="64">
        <v>0.07</v>
      </c>
      <c r="F17" s="64">
        <v>0.07</v>
      </c>
    </row>
    <row r="18" spans="1:6" ht="12.75">
      <c r="A18" s="61" t="s">
        <v>235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</row>
    <row r="19" spans="1:6" ht="12.75">
      <c r="A19" s="61" t="s">
        <v>236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</row>
    <row r="20" spans="1:6" ht="14.25">
      <c r="A20" s="31"/>
      <c r="B20" s="11"/>
      <c r="C20" s="11"/>
      <c r="D20" s="11"/>
      <c r="E20" s="11"/>
      <c r="F20" s="11"/>
    </row>
    <row r="21" spans="1:6" ht="12">
      <c r="A21" s="230"/>
      <c r="B21" s="231"/>
      <c r="C21" s="231"/>
      <c r="D21" s="231"/>
      <c r="E21" s="231"/>
      <c r="F21" s="231"/>
    </row>
    <row r="22" spans="1:7" ht="12">
      <c r="A22" s="231"/>
      <c r="B22" s="231"/>
      <c r="C22" s="231"/>
      <c r="D22" s="231"/>
      <c r="E22" s="231"/>
      <c r="F22" s="231"/>
      <c r="G22" s="30"/>
    </row>
    <row r="23" spans="1:7" ht="12">
      <c r="A23" s="231"/>
      <c r="B23" s="231"/>
      <c r="C23" s="231"/>
      <c r="D23" s="231"/>
      <c r="E23" s="231"/>
      <c r="F23" s="231"/>
      <c r="G23" s="30"/>
    </row>
  </sheetData>
  <sheetProtection/>
  <mergeCells count="4">
    <mergeCell ref="A21:F23"/>
    <mergeCell ref="A7:I7"/>
    <mergeCell ref="A8:I8"/>
    <mergeCell ref="A9:I9"/>
  </mergeCells>
  <printOptions gridLines="1"/>
  <pageMargins left="0" right="0" top="0.3937007874015748" bottom="0.1968503937007874" header="0.5118110236220472" footer="0.5118110236220472"/>
  <pageSetup horizontalDpi="300" verticalDpi="300" orientation="landscape" paperSize="9" scale="70" r:id="rId2"/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5">
      <selection activeCell="C28" sqref="C28"/>
    </sheetView>
  </sheetViews>
  <sheetFormatPr defaultColWidth="9.140625" defaultRowHeight="12.75"/>
  <cols>
    <col min="1" max="1" width="82.28125" style="75" customWidth="1"/>
    <col min="2" max="3" width="16.28125" style="75" customWidth="1"/>
    <col min="4" max="4" width="15.8515625" style="119" customWidth="1"/>
    <col min="5" max="5" width="16.421875" style="75" customWidth="1"/>
    <col min="6" max="16384" width="9.140625" style="75" customWidth="1"/>
  </cols>
  <sheetData>
    <row r="1" spans="1:5" s="73" customFormat="1" ht="12.75" customHeight="1">
      <c r="A1" s="269" t="str">
        <f>Parâmetros!A7</f>
        <v>Município de :  TAVARES</v>
      </c>
      <c r="B1" s="248"/>
      <c r="C1" s="248"/>
      <c r="D1" s="248"/>
      <c r="E1" s="248"/>
    </row>
    <row r="2" spans="1:5" s="73" customFormat="1" ht="12.75" customHeight="1">
      <c r="A2" s="269" t="s">
        <v>365</v>
      </c>
      <c r="B2" s="248"/>
      <c r="C2" s="248"/>
      <c r="D2" s="248"/>
      <c r="E2" s="248"/>
    </row>
    <row r="3" spans="1:5" ht="12.75" customHeight="1">
      <c r="A3" s="280" t="s">
        <v>440</v>
      </c>
      <c r="B3" s="281"/>
      <c r="C3" s="281"/>
      <c r="D3" s="281"/>
      <c r="E3" s="281"/>
    </row>
    <row r="4" spans="1:5" ht="12.75" customHeight="1">
      <c r="A4" s="123"/>
      <c r="B4" s="123"/>
      <c r="C4" s="123"/>
      <c r="D4" s="89"/>
      <c r="E4" s="124"/>
    </row>
    <row r="5" spans="1:5" ht="12.75" customHeight="1">
      <c r="A5" s="125" t="s">
        <v>380</v>
      </c>
      <c r="B5" s="282"/>
      <c r="C5" s="282"/>
      <c r="D5" s="282"/>
      <c r="E5" s="282"/>
    </row>
    <row r="6" spans="1:5" ht="12.75" customHeight="1">
      <c r="A6" s="144" t="s">
        <v>381</v>
      </c>
      <c r="B6" s="143">
        <f>Parâmetros!C10</f>
        <v>2022</v>
      </c>
      <c r="C6" s="131">
        <f>B6+1</f>
        <v>2023</v>
      </c>
      <c r="D6" s="131">
        <f>C6+1</f>
        <v>2024</v>
      </c>
      <c r="E6" s="131">
        <f>D6+1</f>
        <v>2025</v>
      </c>
    </row>
    <row r="7" spans="1:6" ht="12.75" customHeight="1">
      <c r="A7" s="137" t="s">
        <v>424</v>
      </c>
      <c r="B7" s="135">
        <f>Projeções!F128</f>
        <v>24819913.49936387</v>
      </c>
      <c r="C7" s="135">
        <f>Projeções!G128</f>
        <v>25374584.133498207</v>
      </c>
      <c r="D7" s="135">
        <f>Projeções!H128</f>
        <v>26359926.137657426</v>
      </c>
      <c r="E7" s="155">
        <f>Projeções!I128</f>
        <v>27381295.302357763</v>
      </c>
      <c r="F7" s="118"/>
    </row>
    <row r="8" spans="1:5" ht="12.75" customHeight="1">
      <c r="A8" s="137" t="s">
        <v>425</v>
      </c>
      <c r="B8" s="135">
        <f>Educação!B24</f>
        <v>6784196.61766226</v>
      </c>
      <c r="C8" s="135">
        <f>Educação!C24</f>
        <v>6961783.601785611</v>
      </c>
      <c r="D8" s="135">
        <f>Educação!D24</f>
        <v>7184716.016917706</v>
      </c>
      <c r="E8" s="136">
        <f>Educação!E24</f>
        <v>7261741.583937356</v>
      </c>
    </row>
    <row r="9" spans="1:5" ht="12.75" customHeight="1">
      <c r="A9" s="137" t="s">
        <v>426</v>
      </c>
      <c r="B9" s="135">
        <f>Saúde!B21</f>
        <v>4207637.2085122885</v>
      </c>
      <c r="C9" s="135">
        <f>Saúde!C21</f>
        <v>4349783.643923419</v>
      </c>
      <c r="D9" s="135">
        <f>Saúde!D21</f>
        <v>4363801.849351513</v>
      </c>
      <c r="E9" s="136">
        <f>Saúde!E21</f>
        <v>4550045.318633445</v>
      </c>
    </row>
    <row r="10" spans="1:5" ht="12.75" customHeight="1">
      <c r="A10" s="137" t="s">
        <v>427</v>
      </c>
      <c r="B10" s="135">
        <f>'Ass.Social'!B13</f>
        <v>872650.1571480001</v>
      </c>
      <c r="C10" s="135">
        <f>'Ass.Social'!C13</f>
        <v>911825.6746706762</v>
      </c>
      <c r="D10" s="135">
        <f>'Ass.Social'!D13</f>
        <v>905156.8571508065</v>
      </c>
      <c r="E10" s="136">
        <f>'Ass.Social'!E13</f>
        <v>925323.2994284679</v>
      </c>
    </row>
    <row r="11" spans="1:5" ht="12.75" customHeight="1">
      <c r="A11" s="137" t="s">
        <v>428</v>
      </c>
      <c r="B11" s="135">
        <f>RPPS!B12</f>
        <v>0</v>
      </c>
      <c r="C11" s="135">
        <f>RPPS!C12</f>
        <v>0</v>
      </c>
      <c r="D11" s="135">
        <f>RPPS!D12</f>
        <v>0</v>
      </c>
      <c r="E11" s="136">
        <f>RPPS!E12</f>
        <v>0</v>
      </c>
    </row>
    <row r="12" spans="1:5" ht="12.75" customHeight="1">
      <c r="A12" s="137" t="s">
        <v>429</v>
      </c>
      <c r="B12" s="135">
        <f>Câmara!B26</f>
        <v>0</v>
      </c>
      <c r="C12" s="135">
        <f>Câmara!C26</f>
        <v>0</v>
      </c>
      <c r="D12" s="135">
        <f>Câmara!D26</f>
        <v>0</v>
      </c>
      <c r="E12" s="136">
        <f>Câmara!E26</f>
        <v>0</v>
      </c>
    </row>
    <row r="13" spans="1:5" ht="12.75" customHeight="1">
      <c r="A13" s="137"/>
      <c r="B13" s="135"/>
      <c r="C13" s="135"/>
      <c r="D13" s="135"/>
      <c r="E13" s="136"/>
    </row>
    <row r="14" spans="1:5" ht="12.75" customHeight="1">
      <c r="A14" s="152" t="s">
        <v>430</v>
      </c>
      <c r="B14" s="153">
        <f>B7-B8-B9-B10-B11-B12</f>
        <v>12955429.516041324</v>
      </c>
      <c r="C14" s="153">
        <f>C7-C8-C9-C10-C11-C12</f>
        <v>13151191.213118501</v>
      </c>
      <c r="D14" s="153">
        <f>D7-D8-D9-D10-D11-D12</f>
        <v>13906251.4142374</v>
      </c>
      <c r="E14" s="153">
        <f>E7-E8-E9-E10-E11-E12</f>
        <v>14644185.100358495</v>
      </c>
    </row>
    <row r="15" spans="1:5" ht="12.75" customHeight="1">
      <c r="A15" s="126"/>
      <c r="B15" s="127"/>
      <c r="C15" s="127"/>
      <c r="D15" s="127"/>
      <c r="E15" s="127"/>
    </row>
    <row r="16" spans="1:5" ht="12.75" customHeight="1">
      <c r="A16" s="108" t="s">
        <v>431</v>
      </c>
      <c r="B16" s="113">
        <f>B6</f>
        <v>2022</v>
      </c>
      <c r="C16" s="113">
        <f>B16+1</f>
        <v>2023</v>
      </c>
      <c r="D16" s="113">
        <f>C16+1</f>
        <v>2024</v>
      </c>
      <c r="E16" s="113">
        <f>D16+1</f>
        <v>2025</v>
      </c>
    </row>
    <row r="17" spans="1:5" ht="12.75" customHeight="1">
      <c r="A17" s="120"/>
      <c r="B17" s="121"/>
      <c r="C17" s="121"/>
      <c r="D17" s="121"/>
      <c r="E17" s="121"/>
    </row>
    <row r="18" spans="1:5" ht="12.75" customHeight="1">
      <c r="A18" s="115" t="str">
        <f>Projeções!B146</f>
        <v>Pessoal e Encargos Sociais - Demais Áreas</v>
      </c>
      <c r="B18" s="122">
        <f>Projeções!F146</f>
        <v>3137402.3974744505</v>
      </c>
      <c r="C18" s="122">
        <f>Projeções!G146</f>
        <v>3450167.140832073</v>
      </c>
      <c r="D18" s="122">
        <f>Projeções!H146</f>
        <v>3552681.187262839</v>
      </c>
      <c r="E18" s="122">
        <f>Projeções!I146</f>
        <v>3663013.470851049</v>
      </c>
    </row>
    <row r="19" spans="1:5" ht="12.75" customHeight="1">
      <c r="A19" s="115" t="str">
        <f>Projeções!B153</f>
        <v>Juros e Encargos da Dívida - Demais Áreas</v>
      </c>
      <c r="B19" s="110">
        <f>Projeções!F153</f>
        <v>30875.220492</v>
      </c>
      <c r="C19" s="110">
        <f>Projeções!G153</f>
        <v>41432.18204879454</v>
      </c>
      <c r="D19" s="110">
        <f>Projeções!H153</f>
        <v>52581.02721428739</v>
      </c>
      <c r="E19" s="110">
        <f>Projeções!I153</f>
        <v>42965.782783406685</v>
      </c>
    </row>
    <row r="20" spans="1:5" ht="12.75" customHeight="1">
      <c r="A20" s="115" t="str">
        <f>Projeções!B160</f>
        <v>Outros Benef.Assistênciais - Demais Áreas</v>
      </c>
      <c r="B20" s="110">
        <f>Projeções!F160</f>
        <v>125142.00360795004</v>
      </c>
      <c r="C20" s="110">
        <f>Projeções!G160</f>
        <v>131798.6237158832</v>
      </c>
      <c r="D20" s="110">
        <f>Projeções!H160</f>
        <v>136869.78675523758</v>
      </c>
      <c r="E20" s="110">
        <f>Projeções!I160</f>
        <v>142258.10492985314</v>
      </c>
    </row>
    <row r="21" spans="1:5" ht="12.75" customHeight="1">
      <c r="A21" s="115" t="str">
        <f>Projeções!B167</f>
        <v>Auxílio - Alimentação - Demais Áreas</v>
      </c>
      <c r="B21" s="110">
        <f>Projeções!F167</f>
        <v>50044.84695000001</v>
      </c>
      <c r="C21" s="110">
        <f>Projeções!G167</f>
        <v>64372.72637370226</v>
      </c>
      <c r="D21" s="110">
        <f>Projeções!H167</f>
        <v>64698.00957972025</v>
      </c>
      <c r="E21" s="110">
        <f>Projeções!I167</f>
        <v>64702.81759011784</v>
      </c>
    </row>
    <row r="22" spans="1:5" ht="12.75" customHeight="1">
      <c r="A22" s="115" t="str">
        <f>Projeções!B174</f>
        <v>Obrigações Tributárias e Contributivas -Demais Áreas</v>
      </c>
      <c r="B22" s="110">
        <f>Projeções!F174</f>
        <v>206358.5313</v>
      </c>
      <c r="C22" s="110">
        <f>Projeções!G174</f>
        <v>210429.46851476334</v>
      </c>
      <c r="D22" s="110">
        <f>Projeções!H174</f>
        <v>212752.90073626008</v>
      </c>
      <c r="E22" s="110">
        <f>Projeções!I174</f>
        <v>216583.05448623712</v>
      </c>
    </row>
    <row r="23" spans="1:5" ht="12.75" customHeight="1">
      <c r="A23" s="115" t="str">
        <f>Projeções!B181</f>
        <v>Sentenças Judiciais - Demais Áreas</v>
      </c>
      <c r="B23" s="110">
        <f>Projeções!F181</f>
        <v>237515.558028</v>
      </c>
      <c r="C23" s="110">
        <f>Projeções!G181</f>
        <v>248598.11587911082</v>
      </c>
      <c r="D23" s="110">
        <f>Projeções!H181</f>
        <v>242973.71519143684</v>
      </c>
      <c r="E23" s="110">
        <f>Projeções!I181</f>
        <v>250830.36476287033</v>
      </c>
    </row>
    <row r="24" spans="1:5" ht="12.75" customHeight="1">
      <c r="A24" s="115" t="str">
        <f>Projeções!B188</f>
        <v>Indenizações e Restituições - Demais Áreas</v>
      </c>
      <c r="B24" s="110">
        <f>Projeções!F188+Projeções!F195</f>
        <v>5119.473048</v>
      </c>
      <c r="C24" s="110">
        <f>Projeções!G188+Projeções!G195</f>
        <v>6869.940876166134</v>
      </c>
      <c r="D24" s="110">
        <f>Projeções!H188+Projeções!H195</f>
        <v>4194.377331305567</v>
      </c>
      <c r="E24" s="110">
        <f>Projeções!I188+Projeções!I195</f>
        <v>5567.763651590781</v>
      </c>
    </row>
    <row r="25" spans="1:5" ht="12.75" customHeight="1">
      <c r="A25" s="115" t="str">
        <f>Projeções!B202</f>
        <v>Amortização da Dívida - Demais Áreas</v>
      </c>
      <c r="B25" s="110">
        <f>Projeções!F202</f>
        <v>23252.236666666664</v>
      </c>
      <c r="C25" s="110">
        <f>Projeções!G202</f>
        <v>23207.635555555553</v>
      </c>
      <c r="D25" s="110">
        <f>Projeções!H202</f>
        <v>24286.624074074072</v>
      </c>
      <c r="E25" s="110">
        <f>Projeções!I202</f>
        <v>23582.16543209876</v>
      </c>
    </row>
    <row r="26" spans="1:5" ht="12.75" customHeight="1">
      <c r="A26" s="116" t="s">
        <v>379</v>
      </c>
      <c r="B26" s="111">
        <f>SUM(B18:B25)</f>
        <v>3815710.267567068</v>
      </c>
      <c r="C26" s="111">
        <f>SUM(C18:C25)</f>
        <v>4176875.833796049</v>
      </c>
      <c r="D26" s="111">
        <f>SUM(D18:D25)</f>
        <v>4291037.628145161</v>
      </c>
      <c r="E26" s="111">
        <f>SUM(E18:E25)</f>
        <v>4409503.5244872235</v>
      </c>
    </row>
    <row r="27" spans="1:5" ht="12.75" customHeight="1">
      <c r="A27" s="117" t="s">
        <v>432</v>
      </c>
      <c r="B27" s="112">
        <f>B14-B26</f>
        <v>9139719.248474255</v>
      </c>
      <c r="C27" s="112">
        <f>C14-C26</f>
        <v>8974315.379322452</v>
      </c>
      <c r="D27" s="112">
        <f>D14-D26</f>
        <v>9615213.78609224</v>
      </c>
      <c r="E27" s="112">
        <f>E14-E26</f>
        <v>10234681.575871272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4">
    <mergeCell ref="A1:E1"/>
    <mergeCell ref="A2:E2"/>
    <mergeCell ref="A3:E3"/>
    <mergeCell ref="B5:E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FU361"/>
  <sheetViews>
    <sheetView zoomScale="75" zoomScaleNormal="75" zoomScaleSheetLayoutView="30" workbookViewId="0" topLeftCell="C174">
      <selection activeCell="A134" sqref="A134:I203"/>
    </sheetView>
  </sheetViews>
  <sheetFormatPr defaultColWidth="19.140625" defaultRowHeight="12.75"/>
  <cols>
    <col min="1" max="1" width="27.7109375" style="4" customWidth="1"/>
    <col min="2" max="2" width="68.7109375" style="4" customWidth="1"/>
    <col min="3" max="4" width="20.7109375" style="4" customWidth="1"/>
    <col min="5" max="5" width="20.421875" style="4" customWidth="1"/>
    <col min="6" max="7" width="20.28125" style="4" customWidth="1"/>
    <col min="8" max="9" width="20.7109375" style="4" customWidth="1"/>
    <col min="10" max="177" width="19.140625" style="54" customWidth="1"/>
    <col min="178" max="16384" width="19.140625" style="4" customWidth="1"/>
  </cols>
  <sheetData>
    <row r="1" spans="1:177" s="2" customFormat="1" ht="17.25" customHeight="1">
      <c r="A1" s="240" t="str">
        <f>Parâmetros!A7</f>
        <v>Município de :  TAVARES</v>
      </c>
      <c r="B1" s="241"/>
      <c r="C1" s="241"/>
      <c r="D1" s="241"/>
      <c r="E1" s="241"/>
      <c r="F1" s="241"/>
      <c r="G1" s="241"/>
      <c r="H1" s="241"/>
      <c r="I1" s="241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</row>
    <row r="2" spans="1:177" s="2" customFormat="1" ht="30" customHeight="1">
      <c r="A2" s="242" t="str">
        <f>Parâmetros!A8</f>
        <v>PLANO PLURIANUAL 2022 - 2025</v>
      </c>
      <c r="B2" s="241"/>
      <c r="C2" s="241"/>
      <c r="D2" s="241"/>
      <c r="E2" s="241"/>
      <c r="F2" s="241"/>
      <c r="G2" s="241"/>
      <c r="H2" s="241"/>
      <c r="I2" s="241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</row>
    <row r="3" spans="1:177" s="2" customFormat="1" ht="19.5" customHeight="1">
      <c r="A3" s="243" t="s">
        <v>433</v>
      </c>
      <c r="B3" s="241"/>
      <c r="C3" s="241"/>
      <c r="D3" s="241"/>
      <c r="E3" s="241"/>
      <c r="F3" s="241"/>
      <c r="G3" s="241"/>
      <c r="H3" s="241"/>
      <c r="I3" s="241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</row>
    <row r="4" spans="1:177" s="2" customFormat="1" ht="15.75" hidden="1">
      <c r="A4" s="12"/>
      <c r="B4" s="13"/>
      <c r="C4" s="13"/>
      <c r="D4" s="13"/>
      <c r="E4" s="13"/>
      <c r="F4" s="13"/>
      <c r="G4" s="13"/>
      <c r="H4" s="13"/>
      <c r="I4" s="13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</row>
    <row r="5" spans="1:177" s="2" customFormat="1" ht="15.75">
      <c r="A5" s="14"/>
      <c r="B5" s="15"/>
      <c r="C5" s="15"/>
      <c r="D5" s="15"/>
      <c r="E5" s="15"/>
      <c r="F5" s="15"/>
      <c r="G5" s="15"/>
      <c r="H5" s="15"/>
      <c r="I5" s="16" t="s">
        <v>28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</row>
    <row r="6" spans="1:177" s="1" customFormat="1" ht="15.75">
      <c r="A6" s="156"/>
      <c r="B6" s="157" t="s">
        <v>0</v>
      </c>
      <c r="C6" s="174" t="s">
        <v>33</v>
      </c>
      <c r="D6" s="174" t="s">
        <v>33</v>
      </c>
      <c r="E6" s="174" t="s">
        <v>445</v>
      </c>
      <c r="F6" s="175" t="s">
        <v>5</v>
      </c>
      <c r="G6" s="175" t="s">
        <v>5</v>
      </c>
      <c r="H6" s="176" t="s">
        <v>5</v>
      </c>
      <c r="I6" s="177" t="s">
        <v>5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</row>
    <row r="7" spans="1:177" s="1" customFormat="1" ht="27.75" customHeight="1">
      <c r="A7" s="158"/>
      <c r="B7" s="159" t="s">
        <v>3</v>
      </c>
      <c r="C7" s="178">
        <v>2019</v>
      </c>
      <c r="D7" s="179">
        <f aca="true" t="shared" si="0" ref="D7:I7">C7+1</f>
        <v>2020</v>
      </c>
      <c r="E7" s="179">
        <f t="shared" si="0"/>
        <v>2021</v>
      </c>
      <c r="F7" s="179">
        <f t="shared" si="0"/>
        <v>2022</v>
      </c>
      <c r="G7" s="179">
        <f t="shared" si="0"/>
        <v>2023</v>
      </c>
      <c r="H7" s="179">
        <f t="shared" si="0"/>
        <v>2024</v>
      </c>
      <c r="I7" s="179">
        <f t="shared" si="0"/>
        <v>2025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</row>
    <row r="8" spans="1:177" s="38" customFormat="1" ht="17.25" customHeight="1">
      <c r="A8" s="160" t="s">
        <v>34</v>
      </c>
      <c r="B8" s="161" t="s">
        <v>35</v>
      </c>
      <c r="C8" s="180">
        <f aca="true" t="shared" si="1" ref="C8:I8">C9+C15+C23+C37+C38+C39+C42+C77</f>
        <v>21326229.529999997</v>
      </c>
      <c r="D8" s="180">
        <f t="shared" si="1"/>
        <v>22655549.119999997</v>
      </c>
      <c r="E8" s="180">
        <f t="shared" si="1"/>
        <v>23427642.240000002</v>
      </c>
      <c r="F8" s="180">
        <f t="shared" si="1"/>
        <v>25146348.61135287</v>
      </c>
      <c r="G8" s="180">
        <f t="shared" si="1"/>
        <v>25713394.76346054</v>
      </c>
      <c r="H8" s="180">
        <f t="shared" si="1"/>
        <v>26797866.905142143</v>
      </c>
      <c r="I8" s="180">
        <f t="shared" si="1"/>
        <v>27968949.16482067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</row>
    <row r="9" spans="1:177" s="8" customFormat="1" ht="12.75">
      <c r="A9" s="162" t="s">
        <v>36</v>
      </c>
      <c r="B9" s="163" t="s">
        <v>37</v>
      </c>
      <c r="C9" s="181">
        <f aca="true" t="shared" si="2" ref="C9:I9">C10+C11+C12+C13+C14</f>
        <v>1082614.96</v>
      </c>
      <c r="D9" s="181">
        <f t="shared" si="2"/>
        <v>1180935.71</v>
      </c>
      <c r="E9" s="181">
        <f t="shared" si="2"/>
        <v>3285397.21</v>
      </c>
      <c r="F9" s="181">
        <f t="shared" si="2"/>
        <v>2011854.2881122003</v>
      </c>
      <c r="G9" s="181">
        <f t="shared" si="2"/>
        <v>2342868.7947498187</v>
      </c>
      <c r="H9" s="181">
        <f t="shared" si="2"/>
        <v>2760413.6624125117</v>
      </c>
      <c r="I9" s="181">
        <f t="shared" si="2"/>
        <v>2570236.422179245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</row>
    <row r="10" spans="1:177" s="8" customFormat="1" ht="12.75">
      <c r="A10" s="164" t="s">
        <v>185</v>
      </c>
      <c r="B10" s="165" t="s">
        <v>188</v>
      </c>
      <c r="C10" s="35">
        <v>164982.19</v>
      </c>
      <c r="D10" s="35">
        <v>223620.03</v>
      </c>
      <c r="E10" s="35">
        <v>230000</v>
      </c>
      <c r="F10" s="182">
        <f>((C10+D10+E10)/3)*(1+Parâmetros!C11)*(1+Parâmetros!C15)</f>
        <v>224283.5138943</v>
      </c>
      <c r="G10" s="182">
        <f>((D10+E10+F10)/3)*(1+Parâmetros!D11)*(1+Parâmetros!D15)</f>
        <v>245167.2061670931</v>
      </c>
      <c r="H10" s="182">
        <f>((E10+F10+G10)/3)*(1+Parâmetros!E11)*(1+Parâmetros!E15)</f>
        <v>252715.04241178167</v>
      </c>
      <c r="I10" s="182">
        <f>((F10+G10+H10)/3)*(1+Parâmetros!F11)*(1+Parâmetros!F15)</f>
        <v>260871.54920699733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</row>
    <row r="11" spans="1:177" s="8" customFormat="1" ht="12.75">
      <c r="A11" s="164" t="s">
        <v>186</v>
      </c>
      <c r="B11" s="165" t="s">
        <v>189</v>
      </c>
      <c r="C11" s="35">
        <v>17404.51</v>
      </c>
      <c r="D11" s="35">
        <v>20876.46</v>
      </c>
      <c r="E11" s="35">
        <v>26000</v>
      </c>
      <c r="F11" s="182">
        <f>((C11+D11+E11)/3)*(1+Parâmetros!C11)*(1+Parâmetros!C15)</f>
        <v>23306.029888050005</v>
      </c>
      <c r="G11" s="182">
        <f>((D11+E11+F11)/3)*(1+Parâmetros!D11)*(1+Parâmetros!D15)</f>
        <v>25381.848380462732</v>
      </c>
      <c r="H11" s="182">
        <f>((E11+F11+G11)/3)*(1+Parâmetros!E11)*(1+Parâmetros!E15)</f>
        <v>26985.103857804996</v>
      </c>
      <c r="I11" s="182">
        <f>((F11+G11+H11)/3)*(1+Parâmetros!F11)*(1+Parâmetros!F15)</f>
        <v>27335.729698400388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</row>
    <row r="12" spans="1:177" s="8" customFormat="1" ht="12.75">
      <c r="A12" s="164" t="s">
        <v>38</v>
      </c>
      <c r="B12" s="165" t="s">
        <v>187</v>
      </c>
      <c r="C12" s="35">
        <v>689921.39</v>
      </c>
      <c r="D12" s="35">
        <f>866681.29-D10-D11</f>
        <v>622184.8</v>
      </c>
      <c r="E12" s="35">
        <f>3285397.21-E10-E11-E13-E14</f>
        <v>2355300</v>
      </c>
      <c r="F12" s="182">
        <f>((C12+D12+E12)/3)*(1+Parâmetros!C11)*(1+Parâmetros!C15)</f>
        <v>1329673.1252773502</v>
      </c>
      <c r="G12" s="182">
        <f>((D12+E12+F12)/3)*(1+Parâmetros!D11)*(1+Parâmetros!D15)</f>
        <v>1557705.1994661803</v>
      </c>
      <c r="H12" s="182">
        <f>((E12+F12+G12)/3)*(1+Parâmetros!E11)*(1+Parâmetros!E15)</f>
        <v>1894205.8921214615</v>
      </c>
      <c r="I12" s="182">
        <f>((F12+G12+H12)/3)*(1+Parâmetros!F11)*(1+Parâmetros!F15)</f>
        <v>1727275.5745792254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</row>
    <row r="13" spans="1:177" s="8" customFormat="1" ht="12" customHeight="1">
      <c r="A13" s="164" t="s">
        <v>39</v>
      </c>
      <c r="B13" s="165" t="s">
        <v>40</v>
      </c>
      <c r="C13" s="35">
        <v>149964.49</v>
      </c>
      <c r="D13" s="35">
        <v>162886.72</v>
      </c>
      <c r="E13" s="35">
        <v>494597.21</v>
      </c>
      <c r="F13" s="182">
        <f>((C13+D13+E13)/3)*(1+Parâmetros!C11)*(1+Parâmetros!C15)</f>
        <v>292752.5363973</v>
      </c>
      <c r="G13" s="182">
        <f>((D13+E13+F13)/3)*(1+Parâmetros!D11)*(1+Parâmetros!D15)</f>
        <v>343657.76925491565</v>
      </c>
      <c r="H13" s="182">
        <f>((E13+F13+G13)/3)*(1+Parâmetros!E11)*(1+Parâmetros!E15)</f>
        <v>408638.6704427238</v>
      </c>
      <c r="I13" s="182">
        <f>((F13+G13+H13)/3)*(1+Parâmetros!F11)*(1+Parâmetros!F15)</f>
        <v>377508.2668796554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</row>
    <row r="14" spans="1:177" s="8" customFormat="1" ht="12.75">
      <c r="A14" s="164" t="s">
        <v>41</v>
      </c>
      <c r="B14" s="165" t="s">
        <v>42</v>
      </c>
      <c r="C14" s="35">
        <v>60342.38</v>
      </c>
      <c r="D14" s="35">
        <v>151367.7</v>
      </c>
      <c r="E14" s="35">
        <v>179500</v>
      </c>
      <c r="F14" s="182">
        <f>((C14+D14+E14)/3)*(1+Parâmetros!C11)*(1+Parâmetros!C15)</f>
        <v>141839.0826552</v>
      </c>
      <c r="G14" s="182">
        <f>((D14+E14+F14)/3)*(1+Parâmetros!D11)*(1+Parâmetros!D15)</f>
        <v>170956.7714811664</v>
      </c>
      <c r="H14" s="182">
        <f>((E14+F14+G14)/3)*(1+Parâmetros!E11)*(1+Parâmetros!E15)</f>
        <v>177868.95357873983</v>
      </c>
      <c r="I14" s="182">
        <f>((F14+G14+H14)/3)*(1+Parâmetros!F11)*(1+Parâmetros!F15)</f>
        <v>177245.3018149664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</row>
    <row r="15" spans="1:177" ht="12.75">
      <c r="A15" s="162" t="s">
        <v>43</v>
      </c>
      <c r="B15" s="163" t="s">
        <v>44</v>
      </c>
      <c r="C15" s="181">
        <f aca="true" t="shared" si="3" ref="C15:I15">C16+C21+C22</f>
        <v>0</v>
      </c>
      <c r="D15" s="181">
        <f t="shared" si="3"/>
        <v>0</v>
      </c>
      <c r="E15" s="181">
        <f t="shared" si="3"/>
        <v>0</v>
      </c>
      <c r="F15" s="181">
        <f t="shared" si="3"/>
        <v>0</v>
      </c>
      <c r="G15" s="181">
        <f t="shared" si="3"/>
        <v>0</v>
      </c>
      <c r="H15" s="181">
        <f t="shared" si="3"/>
        <v>0</v>
      </c>
      <c r="I15" s="181">
        <f t="shared" si="3"/>
        <v>0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</row>
    <row r="16" spans="1:177" ht="12.75">
      <c r="A16" s="162" t="s">
        <v>45</v>
      </c>
      <c r="B16" s="163" t="s">
        <v>46</v>
      </c>
      <c r="C16" s="181">
        <f aca="true" t="shared" si="4" ref="C16:I16">C17+C18+C19+C20</f>
        <v>0</v>
      </c>
      <c r="D16" s="181">
        <f t="shared" si="4"/>
        <v>0</v>
      </c>
      <c r="E16" s="181">
        <f t="shared" si="4"/>
        <v>0</v>
      </c>
      <c r="F16" s="181">
        <f t="shared" si="4"/>
        <v>0</v>
      </c>
      <c r="G16" s="181">
        <f t="shared" si="4"/>
        <v>0</v>
      </c>
      <c r="H16" s="181">
        <f t="shared" si="4"/>
        <v>0</v>
      </c>
      <c r="I16" s="181">
        <f t="shared" si="4"/>
        <v>0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</row>
    <row r="17" spans="1:177" ht="25.5">
      <c r="A17" s="164" t="s">
        <v>47</v>
      </c>
      <c r="B17" s="165" t="s">
        <v>177</v>
      </c>
      <c r="C17" s="35"/>
      <c r="D17" s="35"/>
      <c r="E17" s="35"/>
      <c r="F17" s="182">
        <f>((C17+D17+E17)/3)*(1+Parâmetros!C11)*(1+Parâmetros!C13)*(1+Parâmetros!C18)</f>
        <v>0</v>
      </c>
      <c r="G17" s="182">
        <f>((D17+E17+F17)/3)*(1+Parâmetros!D11)*(1+Parâmetros!D13)*(1+Parâmetros!D18)</f>
        <v>0</v>
      </c>
      <c r="H17" s="182">
        <f>((E17+F17+G17)/3)*(1+Parâmetros!E11)*(1+Parâmetros!E13)*(1+Parâmetros!E18)</f>
        <v>0</v>
      </c>
      <c r="I17" s="182">
        <f>((F17+G17+H17)/3)*(1+Parâmetros!F11)*(1+Parâmetros!F13)*(1+Parâmetros!F18)</f>
        <v>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</row>
    <row r="18" spans="1:177" ht="12.75">
      <c r="A18" s="164" t="s">
        <v>48</v>
      </c>
      <c r="B18" s="165" t="s">
        <v>49</v>
      </c>
      <c r="C18" s="35"/>
      <c r="D18" s="35"/>
      <c r="E18" s="35"/>
      <c r="F18" s="182">
        <f>((C18+D18+E18)/3)*(1+Parâmetros!C11)*(1+Parâmetros!C13)*(1+Parâmetros!C18)</f>
        <v>0</v>
      </c>
      <c r="G18" s="182">
        <f>((D18+E18+F18)/3)*(1+Parâmetros!D11)*(1+Parâmetros!D13)*(1+Parâmetros!D18)</f>
        <v>0</v>
      </c>
      <c r="H18" s="182">
        <f>((E18+F18+G18)/3)*(1+Parâmetros!E11)*(1+Parâmetros!E13)*(1+Parâmetros!E18)</f>
        <v>0</v>
      </c>
      <c r="I18" s="182">
        <f>((F18+G18+H18)/3)*(1+Parâmetros!F11)*(1+Parâmetros!F13)*(1+Parâmetros!F18)</f>
        <v>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</row>
    <row r="19" spans="1:177" ht="12.75">
      <c r="A19" s="164" t="s">
        <v>50</v>
      </c>
      <c r="B19" s="165" t="s">
        <v>51</v>
      </c>
      <c r="C19" s="35"/>
      <c r="D19" s="35"/>
      <c r="E19" s="35"/>
      <c r="F19" s="182">
        <f>((C19+D19+E19)/3)*(1+Parâmetros!C11)</f>
        <v>0</v>
      </c>
      <c r="G19" s="182">
        <f>((D19+E19+F19)/3)*(1+Parâmetros!D11)</f>
        <v>0</v>
      </c>
      <c r="H19" s="182">
        <f>((E19+F19+G19)/3)*(1+Parâmetros!E11)</f>
        <v>0</v>
      </c>
      <c r="I19" s="182">
        <f>((F19+G19+H19)/3)*(1+Parâmetros!F11)</f>
        <v>0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</row>
    <row r="20" spans="1:177" ht="12.75">
      <c r="A20" s="164" t="s">
        <v>52</v>
      </c>
      <c r="B20" s="165" t="s">
        <v>53</v>
      </c>
      <c r="C20" s="35"/>
      <c r="D20" s="35"/>
      <c r="E20" s="35"/>
      <c r="F20" s="182">
        <f>((C20+D20+E20)/3)*(1+Parâmetros!C11)</f>
        <v>0</v>
      </c>
      <c r="G20" s="182">
        <f>((D20+E20+F20)/3)*(1+Parâmetros!D11)</f>
        <v>0</v>
      </c>
      <c r="H20" s="182">
        <f>((E20+F20+G20)/3)*(1+Parâmetros!E11)</f>
        <v>0</v>
      </c>
      <c r="I20" s="182">
        <f>((F20+G20+H20)/3)*(1+Parâmetros!F11)</f>
        <v>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</row>
    <row r="21" spans="1:177" s="8" customFormat="1" ht="12.75">
      <c r="A21" s="164" t="s">
        <v>54</v>
      </c>
      <c r="B21" s="165" t="s">
        <v>55</v>
      </c>
      <c r="C21" s="35"/>
      <c r="D21" s="35"/>
      <c r="E21" s="35"/>
      <c r="F21" s="182">
        <f>((C21+D21+E21)/3)*(1+Parâmetros!C11)</f>
        <v>0</v>
      </c>
      <c r="G21" s="182">
        <f>((D21+E21+F21)/3)*(1+Parâmetros!D11)</f>
        <v>0</v>
      </c>
      <c r="H21" s="182">
        <f>((E21+F21+G21)/3)*(1+Parâmetros!E11)</f>
        <v>0</v>
      </c>
      <c r="I21" s="182">
        <f>((F21+G21+H21)/3)*(1+Parâmetros!F11)</f>
        <v>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</row>
    <row r="22" spans="1:177" s="8" customFormat="1" ht="12.75">
      <c r="A22" s="164" t="s">
        <v>56</v>
      </c>
      <c r="B22" s="165" t="s">
        <v>57</v>
      </c>
      <c r="C22" s="35"/>
      <c r="D22" s="35"/>
      <c r="E22" s="35"/>
      <c r="F22" s="182">
        <f>((C22+D22+E22)/3)*(1+Parâmetros!C11)*(1+Parâmetros!C12)</f>
        <v>0</v>
      </c>
      <c r="G22" s="182">
        <f>((D22+E22+F22)/3)*(1+Parâmetros!D11)*(1+Parâmetros!D12)</f>
        <v>0</v>
      </c>
      <c r="H22" s="182">
        <f>((E22+F22+G22)/3)*(1+Parâmetros!E11)*(1+Parâmetros!E12)</f>
        <v>0</v>
      </c>
      <c r="I22" s="182">
        <f>((F22+G22+H22)/3)*(1+Parâmetros!F11)*(1+Parâmetros!F12)</f>
        <v>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</row>
    <row r="23" spans="1:177" s="8" customFormat="1" ht="12.75">
      <c r="A23" s="162" t="s">
        <v>58</v>
      </c>
      <c r="B23" s="163" t="s">
        <v>59</v>
      </c>
      <c r="C23" s="181">
        <f aca="true" t="shared" si="5" ref="C23:I23">C24+C25+C34+C35+C36</f>
        <v>137308.14</v>
      </c>
      <c r="D23" s="181">
        <f t="shared" si="5"/>
        <v>15279.82</v>
      </c>
      <c r="E23" s="181">
        <f t="shared" si="5"/>
        <v>29191.8</v>
      </c>
      <c r="F23" s="181">
        <f t="shared" si="5"/>
        <v>62768.55112800001</v>
      </c>
      <c r="G23" s="181">
        <f t="shared" si="5"/>
        <v>36937.089608854134</v>
      </c>
      <c r="H23" s="181">
        <f t="shared" si="5"/>
        <v>44353.60935755151</v>
      </c>
      <c r="I23" s="181">
        <f t="shared" si="5"/>
        <v>49561.184007478696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</row>
    <row r="24" spans="1:177" s="8" customFormat="1" ht="12.75">
      <c r="A24" s="164" t="s">
        <v>60</v>
      </c>
      <c r="B24" s="165" t="s">
        <v>237</v>
      </c>
      <c r="C24" s="35">
        <v>110668.33</v>
      </c>
      <c r="D24" s="35">
        <v>1250.8</v>
      </c>
      <c r="E24" s="35">
        <v>2700</v>
      </c>
      <c r="F24" s="182">
        <f>((C24+D24+E24)/3)*(1+Parâmetros!C11)</f>
        <v>39577.985589</v>
      </c>
      <c r="G24" s="182">
        <f>((D24+E24+F24)/3)*(1+Parâmetros!D11)</f>
        <v>14992.764716371237</v>
      </c>
      <c r="H24" s="182">
        <f>((E24+F24+G24)/3)*(1+Parâmetros!E11)</f>
        <v>19706.865180078243</v>
      </c>
      <c r="I24" s="182">
        <f>((F24+G24+H24)/3)*(1+Parâmetros!F11)</f>
        <v>25553.975647510804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</row>
    <row r="25" spans="1:177" s="37" customFormat="1" ht="15.75">
      <c r="A25" s="162" t="s">
        <v>61</v>
      </c>
      <c r="B25" s="163" t="s">
        <v>62</v>
      </c>
      <c r="C25" s="181">
        <f aca="true" t="shared" si="6" ref="C25:I25">SUM(C26:C33)</f>
        <v>26639.809999999998</v>
      </c>
      <c r="D25" s="181">
        <f t="shared" si="6"/>
        <v>14029.02</v>
      </c>
      <c r="E25" s="181">
        <f t="shared" si="6"/>
        <v>26491.8</v>
      </c>
      <c r="F25" s="181">
        <f t="shared" si="6"/>
        <v>23190.565539</v>
      </c>
      <c r="G25" s="181">
        <f t="shared" si="6"/>
        <v>21944.3248924829</v>
      </c>
      <c r="H25" s="181">
        <f t="shared" si="6"/>
        <v>24646.74417747327</v>
      </c>
      <c r="I25" s="181">
        <f t="shared" si="6"/>
        <v>24007.20835996789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</row>
    <row r="26" spans="1:177" ht="25.5">
      <c r="A26" s="164" t="s">
        <v>63</v>
      </c>
      <c r="B26" s="165" t="s">
        <v>406</v>
      </c>
      <c r="C26" s="35">
        <f>2742.97+2238.73+2100.16</f>
        <v>7081.86</v>
      </c>
      <c r="D26" s="35">
        <f>610.53+715.25+898.56</f>
        <v>2224.34</v>
      </c>
      <c r="E26" s="35">
        <f>1000+3271.8+1000</f>
        <v>5271.8</v>
      </c>
      <c r="F26" s="182">
        <f>((C26+D26+E26)/3)*(1+Parâmetros!C11)</f>
        <v>5033.7834</v>
      </c>
      <c r="G26" s="182">
        <f>((D26+E26+F26)/3)*(1+Parâmetros!D11)</f>
        <v>4315.723283073334</v>
      </c>
      <c r="H26" s="182">
        <f>((E26+F26+G26)/3)*(1+Parâmetros!E11)</f>
        <v>5031.191629645534</v>
      </c>
      <c r="I26" s="182">
        <f>((F26+G26+H26)/3)*(1+Parâmetros!F11)</f>
        <v>4947.439576185715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</row>
    <row r="27" spans="1:177" ht="25.5">
      <c r="A27" s="164" t="s">
        <v>63</v>
      </c>
      <c r="B27" s="165" t="s">
        <v>405</v>
      </c>
      <c r="C27" s="35">
        <f>8521.54+463.56</f>
        <v>8985.1</v>
      </c>
      <c r="D27" s="35">
        <f>431.51+2344.97</f>
        <v>2776.4799999999996</v>
      </c>
      <c r="E27" s="35">
        <f>500+8820</f>
        <v>9320</v>
      </c>
      <c r="F27" s="182">
        <f>((C27+D27+E27)/3)*(1+Parâmetros!C11)</f>
        <v>7279.469574000001</v>
      </c>
      <c r="G27" s="182">
        <f>((D27+E27+F27)/3)*(1+Parâmetros!D11)</f>
        <v>6673.7228982714005</v>
      </c>
      <c r="H27" s="182">
        <f>((E27+F27+G27)/3)*(1+Parâmetros!E11)</f>
        <v>8008.305529708589</v>
      </c>
      <c r="I27" s="182">
        <f>((F27+G27+H27)/3)*(1+Parâmetros!F11)</f>
        <v>7555.487362614517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</row>
    <row r="28" spans="1:177" ht="25.5">
      <c r="A28" s="164" t="s">
        <v>63</v>
      </c>
      <c r="B28" s="165" t="s">
        <v>409</v>
      </c>
      <c r="C28" s="35">
        <f>580.21</f>
        <v>580.21</v>
      </c>
      <c r="D28" s="35">
        <f>849.8</f>
        <v>849.8</v>
      </c>
      <c r="E28" s="35">
        <v>3600</v>
      </c>
      <c r="F28" s="182">
        <f>((C28+D28+E28)/3)*(1+Parâmetros!C11)</f>
        <v>1736.8624530000002</v>
      </c>
      <c r="G28" s="182">
        <f>((D28+E28+F28)/3)*(1+Parâmetros!D11)</f>
        <v>2130.892770894967</v>
      </c>
      <c r="H28" s="182">
        <f>((E28+F28+G28)/3)*(1+Parâmetros!E11)</f>
        <v>2569.654572542258</v>
      </c>
      <c r="I28" s="182">
        <f>((F28+G28+H28)/3)*(1+Parâmetros!F11)</f>
        <v>2214.6835503009534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</row>
    <row r="29" spans="1:177" ht="12.75">
      <c r="A29" s="164" t="s">
        <v>63</v>
      </c>
      <c r="B29" s="165" t="s">
        <v>239</v>
      </c>
      <c r="C29" s="35">
        <f>287.89</f>
        <v>287.89</v>
      </c>
      <c r="D29" s="35">
        <v>343.23</v>
      </c>
      <c r="E29" s="35">
        <v>1000</v>
      </c>
      <c r="F29" s="182">
        <f>((C29+D29+E29)/3)*(1+Parâmetros!C11)</f>
        <v>563.225736</v>
      </c>
      <c r="G29" s="182">
        <f>((D29+E29+F29)/3)*(1+Parâmetros!D11)</f>
        <v>656.6469040029334</v>
      </c>
      <c r="H29" s="182">
        <f>((E29+F29+G29)/3)*(1+Parâmetros!E11)</f>
        <v>763.8581754250092</v>
      </c>
      <c r="I29" s="182">
        <f>((F29+G29+H29)/3)*(1+Parâmetros!F11)</f>
        <v>682.4695248677266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</row>
    <row r="30" spans="1:177" ht="12.75">
      <c r="A30" s="164" t="s">
        <v>64</v>
      </c>
      <c r="B30" s="165" t="s">
        <v>65</v>
      </c>
      <c r="C30" s="35">
        <v>9183.57</v>
      </c>
      <c r="D30" s="35">
        <v>7446.69</v>
      </c>
      <c r="E30" s="35">
        <v>7000</v>
      </c>
      <c r="F30" s="182">
        <f>((C30+D30+E30)/3)*(1+Parâmetros!C11)</f>
        <v>8159.528778</v>
      </c>
      <c r="G30" s="182">
        <f>((D30+E30+F30)/3)*(1+Parâmetros!D11)</f>
        <v>7786.335287769134</v>
      </c>
      <c r="H30" s="182">
        <f>((E30+F30+G30)/3)*(1+Parâmetros!E11)</f>
        <v>7895.67182503116</v>
      </c>
      <c r="I30" s="182">
        <f>((F30+G30+H30)/3)*(1+Parâmetros!F11)</f>
        <v>8202.283064298328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</row>
    <row r="31" spans="1:177" ht="12.75">
      <c r="A31" s="164" t="s">
        <v>66</v>
      </c>
      <c r="B31" s="165" t="s">
        <v>67</v>
      </c>
      <c r="C31" s="35"/>
      <c r="D31" s="35"/>
      <c r="E31" s="35"/>
      <c r="F31" s="182">
        <f>((C31+D31+E31)/3)*(1+Parâmetros!C11)</f>
        <v>0</v>
      </c>
      <c r="G31" s="182">
        <f>((D31+E31+F31)/3)*(1+Parâmetros!D11)</f>
        <v>0</v>
      </c>
      <c r="H31" s="182">
        <f>((E31+F31+G31)/3)*(1+Parâmetros!E11)</f>
        <v>0</v>
      </c>
      <c r="I31" s="182">
        <f>((F31+G31+H31)/3)*(1+Parâmetros!F11)</f>
        <v>0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</row>
    <row r="32" spans="1:177" ht="12.75">
      <c r="A32" s="164" t="s">
        <v>68</v>
      </c>
      <c r="B32" s="165" t="s">
        <v>69</v>
      </c>
      <c r="C32" s="35"/>
      <c r="D32" s="35"/>
      <c r="E32" s="35"/>
      <c r="F32" s="182">
        <f>((C32+D32+E32)/3)*(1+Parâmetros!C11)</f>
        <v>0</v>
      </c>
      <c r="G32" s="182">
        <f>((D32+E32+F32)/3)*(1+Parâmetros!D11)</f>
        <v>0</v>
      </c>
      <c r="H32" s="182">
        <f>((E32+F32+G32)/3)*(1+Parâmetros!E11)</f>
        <v>0</v>
      </c>
      <c r="I32" s="182">
        <f>((F32+G32+H32)/3)*(1+Parâmetros!F11)</f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</row>
    <row r="33" spans="1:177" ht="12.75">
      <c r="A33" s="164" t="s">
        <v>70</v>
      </c>
      <c r="B33" s="165" t="s">
        <v>71</v>
      </c>
      <c r="C33" s="35">
        <v>521.18</v>
      </c>
      <c r="D33" s="35">
        <v>388.48</v>
      </c>
      <c r="E33" s="35">
        <v>300</v>
      </c>
      <c r="F33" s="182">
        <f>((C33+D33+E33)/3)*(1+Parâmetros!C11)</f>
        <v>417.69559799999996</v>
      </c>
      <c r="G33" s="182">
        <f>((D33+E33+F33)/3)*(1+Parâmetros!D11)</f>
        <v>381.0037484711334</v>
      </c>
      <c r="H33" s="182">
        <f>((E33+F33+G33)/3)*(1+Parâmetros!E11)</f>
        <v>378.062445120717</v>
      </c>
      <c r="I33" s="182">
        <f>((F33+G33+H33)/3)*(1+Parâmetros!F11)</f>
        <v>404.8452817006496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</row>
    <row r="34" spans="1:177" ht="25.5">
      <c r="A34" s="164" t="s">
        <v>72</v>
      </c>
      <c r="B34" s="165" t="s">
        <v>73</v>
      </c>
      <c r="C34" s="35"/>
      <c r="D34" s="35"/>
      <c r="E34" s="35"/>
      <c r="F34" s="182">
        <f>((C34+D34+E34)/3)*(1+Parâmetros!C11)</f>
        <v>0</v>
      </c>
      <c r="G34" s="182">
        <f>((D34+E34+F34)/3)*(1+Parâmetros!D11)</f>
        <v>0</v>
      </c>
      <c r="H34" s="182">
        <f>((E34+F34+G34)/3)*(1+Parâmetros!E11)</f>
        <v>0</v>
      </c>
      <c r="I34" s="182">
        <f>((F34+G34+H34)/3)*(1+Parâmetros!F11)</f>
        <v>0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</row>
    <row r="35" spans="1:177" ht="12.75">
      <c r="A35" s="164" t="s">
        <v>74</v>
      </c>
      <c r="B35" s="165" t="s">
        <v>75</v>
      </c>
      <c r="C35" s="35"/>
      <c r="D35" s="35"/>
      <c r="E35" s="35"/>
      <c r="F35" s="182">
        <f>((C35+D35+E35)/3)*(1+Parâmetros!C11)</f>
        <v>0</v>
      </c>
      <c r="G35" s="182">
        <f>((D35+E35+F35)/3)*(1+Parâmetros!D11)</f>
        <v>0</v>
      </c>
      <c r="H35" s="182">
        <f>((E35+F35+G35)/3)*(1+Parâmetros!E11)</f>
        <v>0</v>
      </c>
      <c r="I35" s="182">
        <f>((F35+G35+H35)/3)*(1+Parâmetros!F11)</f>
        <v>0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</row>
    <row r="36" spans="1:177" ht="12.75">
      <c r="A36" s="164" t="s">
        <v>76</v>
      </c>
      <c r="B36" s="165" t="s">
        <v>77</v>
      </c>
      <c r="C36" s="35"/>
      <c r="D36" s="35"/>
      <c r="E36" s="35"/>
      <c r="F36" s="182">
        <f>((C36+D36+E36)/3)*(1+Parâmetros!C11)</f>
        <v>0</v>
      </c>
      <c r="G36" s="182">
        <f>((D36+E36+F36)/3)*(1+Parâmetros!D11)</f>
        <v>0</v>
      </c>
      <c r="H36" s="182">
        <f>((E36+F36+G36)/3)*(1+Parâmetros!E11)</f>
        <v>0</v>
      </c>
      <c r="I36" s="182">
        <f>((F36+G36+H36)/3)*(1+Parâmetros!F11)</f>
        <v>0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</row>
    <row r="37" spans="1:177" ht="12.75">
      <c r="A37" s="164" t="s">
        <v>78</v>
      </c>
      <c r="B37" s="165" t="s">
        <v>79</v>
      </c>
      <c r="C37" s="35"/>
      <c r="D37" s="35"/>
      <c r="E37" s="35"/>
      <c r="F37" s="182">
        <f>((C37+D37+E37)/3)*(1+Parâmetros!C11)</f>
        <v>0</v>
      </c>
      <c r="G37" s="182">
        <f>((D37+E37+F37)/3)*(1+Parâmetros!D11)</f>
        <v>0</v>
      </c>
      <c r="H37" s="182">
        <f>((E37+F37+G37)/3)*(1+Parâmetros!E11)</f>
        <v>0</v>
      </c>
      <c r="I37" s="182">
        <f>((F37+G37+H37)/3)*(1+Parâmetros!F11)</f>
        <v>0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</row>
    <row r="38" spans="1:177" ht="12.75">
      <c r="A38" s="164" t="s">
        <v>106</v>
      </c>
      <c r="B38" s="165" t="s">
        <v>107</v>
      </c>
      <c r="C38" s="35"/>
      <c r="D38" s="35"/>
      <c r="E38" s="35"/>
      <c r="F38" s="182">
        <f>((C38+D38+E38)/3)*(1+Parâmetros!C11)</f>
        <v>0</v>
      </c>
      <c r="G38" s="182">
        <f>((D38+E38+F38)/3)*(1+Parâmetros!D11)</f>
        <v>0</v>
      </c>
      <c r="H38" s="182">
        <f>((E38+F38+G38)/3)*(1+Parâmetros!E11)</f>
        <v>0</v>
      </c>
      <c r="I38" s="182">
        <f>((F38+G38+H38)/3)*(1+Parâmetros!F11)</f>
        <v>0</v>
      </c>
      <c r="J38" s="68" t="s">
        <v>226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</row>
    <row r="39" spans="1:177" s="7" customFormat="1" ht="12.75">
      <c r="A39" s="162" t="s">
        <v>204</v>
      </c>
      <c r="B39" s="163" t="s">
        <v>80</v>
      </c>
      <c r="C39" s="181">
        <f aca="true" t="shared" si="7" ref="C39:I39">C40+C41</f>
        <v>35379.46</v>
      </c>
      <c r="D39" s="181">
        <f t="shared" si="7"/>
        <v>44557.73</v>
      </c>
      <c r="E39" s="181">
        <f t="shared" si="7"/>
        <v>44900</v>
      </c>
      <c r="F39" s="181">
        <f t="shared" si="7"/>
        <v>43106.281707</v>
      </c>
      <c r="G39" s="181">
        <f t="shared" si="7"/>
        <v>45659.46443228105</v>
      </c>
      <c r="H39" s="181">
        <f t="shared" si="7"/>
        <v>45994.38324652661</v>
      </c>
      <c r="I39" s="181">
        <f t="shared" si="7"/>
        <v>46361.9765130307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</row>
    <row r="40" spans="1:177" ht="25.5">
      <c r="A40" s="166" t="s">
        <v>206</v>
      </c>
      <c r="B40" s="165" t="s">
        <v>207</v>
      </c>
      <c r="C40" s="35"/>
      <c r="D40" s="35"/>
      <c r="E40" s="35"/>
      <c r="F40" s="182">
        <f>((C40+D40+E40)/3)*(1+Parâmetros!C11)</f>
        <v>0</v>
      </c>
      <c r="G40" s="182">
        <f>((D40+E40+F40)/3)*(1+Parâmetros!D11)</f>
        <v>0</v>
      </c>
      <c r="H40" s="182">
        <f>((E40+F40+G40)/3)*(1+Parâmetros!E11)</f>
        <v>0</v>
      </c>
      <c r="I40" s="182">
        <f>((F40+G40+H40)/3)*(1+Parâmetros!F11)</f>
        <v>0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</row>
    <row r="41" spans="1:177" ht="12.75">
      <c r="A41" s="164" t="s">
        <v>204</v>
      </c>
      <c r="B41" s="165" t="s">
        <v>205</v>
      </c>
      <c r="C41" s="35">
        <v>35379.46</v>
      </c>
      <c r="D41" s="35">
        <v>44557.73</v>
      </c>
      <c r="E41" s="35">
        <v>44900</v>
      </c>
      <c r="F41" s="182">
        <f>((C41+D41+E41)/3)*(1+Parâmetros!C11)</f>
        <v>43106.281707</v>
      </c>
      <c r="G41" s="182">
        <f>((D41+E41+F41)/3)*(1+Parâmetros!D11)</f>
        <v>45659.46443228105</v>
      </c>
      <c r="H41" s="182">
        <f>((E41+F41+G41)/3)*(1+Parâmetros!E11)</f>
        <v>45994.38324652661</v>
      </c>
      <c r="I41" s="182">
        <f>((F41+G41+H41)/3)*(1+Parâmetros!F11)</f>
        <v>46361.9765130307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</row>
    <row r="42" spans="1:177" s="7" customFormat="1" ht="12.75">
      <c r="A42" s="162" t="s">
        <v>81</v>
      </c>
      <c r="B42" s="163" t="s">
        <v>82</v>
      </c>
      <c r="C42" s="181">
        <f aca="true" t="shared" si="8" ref="C42:I42">C43+C58+C72+C73+C74+C75+C76</f>
        <v>19901724.549999997</v>
      </c>
      <c r="D42" s="181">
        <f t="shared" si="8"/>
        <v>21401093.029999997</v>
      </c>
      <c r="E42" s="181">
        <f t="shared" si="8"/>
        <v>19847153.23</v>
      </c>
      <c r="F42" s="181">
        <f t="shared" si="8"/>
        <v>22889157.913580667</v>
      </c>
      <c r="G42" s="181">
        <f t="shared" si="8"/>
        <v>23159061.609478828</v>
      </c>
      <c r="H42" s="181">
        <f t="shared" si="8"/>
        <v>23778727.009773932</v>
      </c>
      <c r="I42" s="181">
        <f t="shared" si="8"/>
        <v>25152547.603105795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</row>
    <row r="43" spans="1:177" s="7" customFormat="1" ht="12.75">
      <c r="A43" s="162" t="s">
        <v>83</v>
      </c>
      <c r="B43" s="163" t="s">
        <v>84</v>
      </c>
      <c r="C43" s="181">
        <f aca="true" t="shared" si="9" ref="C43:I43">SUM(C44:C57)</f>
        <v>10985498.32</v>
      </c>
      <c r="D43" s="181">
        <f t="shared" si="9"/>
        <v>12071691.06</v>
      </c>
      <c r="E43" s="181">
        <f t="shared" si="9"/>
        <v>10377852</v>
      </c>
      <c r="F43" s="181">
        <f t="shared" si="9"/>
        <v>12611523.704449333</v>
      </c>
      <c r="G43" s="181">
        <f t="shared" si="9"/>
        <v>12412424.080824673</v>
      </c>
      <c r="H43" s="181">
        <f t="shared" si="9"/>
        <v>12540350.28270425</v>
      </c>
      <c r="I43" s="181">
        <f t="shared" si="9"/>
        <v>13297388.17734632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</row>
    <row r="44" spans="1:177" ht="12.75">
      <c r="A44" s="164" t="s">
        <v>85</v>
      </c>
      <c r="B44" s="165" t="s">
        <v>86</v>
      </c>
      <c r="C44" s="35">
        <v>8037132.55</v>
      </c>
      <c r="D44" s="35">
        <v>7654273.71</v>
      </c>
      <c r="E44" s="35">
        <v>8000000</v>
      </c>
      <c r="F44" s="182">
        <f>((C44+D44+E44)/3)*(1+Parâmetros!C16)</f>
        <v>8449934.8994</v>
      </c>
      <c r="G44" s="182">
        <f>((D44+E44+F44)/3)*(1+Parâmetros!D16)</f>
        <v>8597167.737352667</v>
      </c>
      <c r="H44" s="182">
        <f>((E44+F44+G44)/3)*(1+Parâmetros!E16)</f>
        <v>8933466.607108451</v>
      </c>
      <c r="I44" s="182">
        <f>((F44+G44+H44)/3)*(1+Parâmetros!F16)</f>
        <v>9266403.030310465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</row>
    <row r="45" spans="1:177" ht="25.5">
      <c r="A45" s="164" t="s">
        <v>87</v>
      </c>
      <c r="B45" s="165" t="s">
        <v>88</v>
      </c>
      <c r="C45" s="35">
        <v>354693.52</v>
      </c>
      <c r="D45" s="35">
        <v>344445.14</v>
      </c>
      <c r="E45" s="35">
        <v>374000</v>
      </c>
      <c r="F45" s="182">
        <f>((C45+D45+E45)/3)*(1+Parâmetros!C16)</f>
        <v>382752.7887333334</v>
      </c>
      <c r="G45" s="182">
        <f>((D45+E45+F45)/3)*(1+Parâmetros!D16)</f>
        <v>392760.59458155563</v>
      </c>
      <c r="H45" s="182">
        <f>((E45+F45+G45)/3)*(1+Parâmetros!E16)</f>
        <v>409993.1067156438</v>
      </c>
      <c r="I45" s="182">
        <f>((F45+G45+H45)/3)*(1+Parâmetros!F16)</f>
        <v>422830.64811089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</row>
    <row r="46" spans="1:177" ht="25.5">
      <c r="A46" s="164" t="s">
        <v>89</v>
      </c>
      <c r="B46" s="165" t="s">
        <v>90</v>
      </c>
      <c r="C46" s="35">
        <v>341589.25</v>
      </c>
      <c r="D46" s="35">
        <v>345179.5</v>
      </c>
      <c r="E46" s="35">
        <v>363000</v>
      </c>
      <c r="F46" s="182">
        <f>((C46+D46+E46)/3)*(1+Parâmetros!C16)</f>
        <v>374417.5208333334</v>
      </c>
      <c r="G46" s="182">
        <f>((D46+E46+F46)/3)*(1+Parâmetros!D16)</f>
        <v>386126.270763889</v>
      </c>
      <c r="H46" s="182">
        <f>((E46+F46+G46)/3)*(1+Parâmetros!E16)</f>
        <v>400730.6190030094</v>
      </c>
      <c r="I46" s="182">
        <f>((F46+G46+H46)/3)*(1+Parâmetros!F16)</f>
        <v>414187.8731140828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</row>
    <row r="47" spans="1:177" ht="12.75">
      <c r="A47" s="164" t="s">
        <v>91</v>
      </c>
      <c r="B47" s="165" t="s">
        <v>92</v>
      </c>
      <c r="C47" s="35">
        <v>270900.59</v>
      </c>
      <c r="D47" s="35">
        <v>256535.38</v>
      </c>
      <c r="E47" s="35">
        <v>250000</v>
      </c>
      <c r="F47" s="182">
        <f>((C47+D47+E47)/3)*(1+Parâmetros!C16)</f>
        <v>277285.49596666667</v>
      </c>
      <c r="G47" s="182">
        <f>((D47+E47+F47)/3)*(1+Parâmetros!D16)</f>
        <v>279562.7790947778</v>
      </c>
      <c r="H47" s="182">
        <f>((E47+F47+G47)/3)*(1+Parâmetros!E16)</f>
        <v>287775.88477191515</v>
      </c>
      <c r="I47" s="182">
        <f>((F47+G47+H47)/3)*(1+Parâmetros!F16)</f>
        <v>301249.2836738983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</row>
    <row r="48" spans="1:177" ht="25.5">
      <c r="A48" s="164" t="s">
        <v>93</v>
      </c>
      <c r="B48" s="165" t="s">
        <v>94</v>
      </c>
      <c r="C48" s="35">
        <v>123843.64</v>
      </c>
      <c r="D48" s="35">
        <v>151440.38</v>
      </c>
      <c r="E48" s="35">
        <v>120000</v>
      </c>
      <c r="F48" s="182">
        <f>((C48+D48+E48)/3)*(1+Parâmetros!C16)</f>
        <v>140984.6338</v>
      </c>
      <c r="G48" s="182">
        <f>((D48+E48+F48)/3)*(1+Parâmetros!D16)</f>
        <v>147098.25492200002</v>
      </c>
      <c r="H48" s="182">
        <f>((E48+F48+G48)/3)*(1+Parâmetros!E16)</f>
        <v>145549.56364418002</v>
      </c>
      <c r="I48" s="182">
        <f>((F48+G48+H48)/3)*(1+Parâmetros!F16)</f>
        <v>154662.24134393758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</row>
    <row r="49" spans="1:177" ht="25.5">
      <c r="A49" s="166" t="s">
        <v>249</v>
      </c>
      <c r="B49" s="165" t="s">
        <v>95</v>
      </c>
      <c r="C49" s="35">
        <v>925527.74</v>
      </c>
      <c r="D49" s="35">
        <v>1321525.36</v>
      </c>
      <c r="E49" s="35">
        <v>751000</v>
      </c>
      <c r="F49" s="182">
        <f>((C49+D49+E49)/3)*(1+Parâmetros!C11)</f>
        <v>1035227.73543</v>
      </c>
      <c r="G49" s="182">
        <f>((D49+E49+F49)/3)*(1+Parâmetros!D11)</f>
        <v>1070413.7578359398</v>
      </c>
      <c r="H49" s="182">
        <f>((E49+F49+G49)/3)*(1+Parâmetros!E11)</f>
        <v>982970.3378328099</v>
      </c>
      <c r="I49" s="182">
        <f>((F49+G49+H49)/3)*(1+Parâmetros!F11)</f>
        <v>1062585.4236256732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</row>
    <row r="50" spans="1:177" ht="12.75">
      <c r="A50" s="164" t="s">
        <v>250</v>
      </c>
      <c r="B50" s="165" t="s">
        <v>96</v>
      </c>
      <c r="C50" s="35">
        <v>250977.85</v>
      </c>
      <c r="D50" s="35">
        <v>278319.48</v>
      </c>
      <c r="E50" s="35">
        <v>214624.4</v>
      </c>
      <c r="F50" s="182">
        <f>((C50+D50+E50)/3)*(1+Parâmetros!C11)</f>
        <v>256876.17336900003</v>
      </c>
      <c r="G50" s="182">
        <f>((D50+E50+F50)/3)*(1+Parâmetros!D11)</f>
        <v>258263.02038206262</v>
      </c>
      <c r="H50" s="182">
        <f>((E50+F50+G50)/3)*(1+Parâmetros!E11)</f>
        <v>251111.65260974067</v>
      </c>
      <c r="I50" s="182">
        <f>((F50+G50+H50)/3)*(1+Parâmetros!F11)</f>
        <v>263615.83284299506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</row>
    <row r="51" spans="1:177" ht="25.5">
      <c r="A51" s="164" t="s">
        <v>97</v>
      </c>
      <c r="B51" s="165" t="s">
        <v>98</v>
      </c>
      <c r="C51" s="35">
        <v>260582.35</v>
      </c>
      <c r="D51" s="35">
        <v>257492.6</v>
      </c>
      <c r="E51" s="35">
        <v>305127.6</v>
      </c>
      <c r="F51" s="182">
        <f>((C51+D51+E51)/3)*(1+Parâmetros!C11)</f>
        <v>284251.84051500005</v>
      </c>
      <c r="G51" s="182">
        <f>((D51+E51+F51)/3)*(1+Parâmetros!D11)</f>
        <v>291690.9598213832</v>
      </c>
      <c r="H51" s="182">
        <f>((E51+F51+G51)/3)*(1+Parâmetros!E11)</f>
        <v>303176.32475574943</v>
      </c>
      <c r="I51" s="182">
        <f>((F51+G51+H51)/3)*(1+Parâmetros!F11)</f>
        <v>302446.2830025301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</row>
    <row r="52" spans="1:177" ht="12.75">
      <c r="A52" s="164" t="s">
        <v>99</v>
      </c>
      <c r="B52" s="165" t="s">
        <v>100</v>
      </c>
      <c r="C52" s="35"/>
      <c r="D52" s="35"/>
      <c r="E52" s="35"/>
      <c r="F52" s="182">
        <f>((C52+D52+E52)/3)*(1+Parâmetros!C16)</f>
        <v>0</v>
      </c>
      <c r="G52" s="182">
        <f>((D52+E52+F52)/3)*(1+Parâmetros!D16)</f>
        <v>0</v>
      </c>
      <c r="H52" s="182">
        <f>((E52+F52+G52)/3)*(1+Parâmetros!E16)</f>
        <v>0</v>
      </c>
      <c r="I52" s="182">
        <f>((F52+G52+H52)/3)*(1+Parâmetros!F16)</f>
        <v>0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</row>
    <row r="53" spans="1:177" ht="12.75">
      <c r="A53" s="164" t="s">
        <v>246</v>
      </c>
      <c r="B53" s="165" t="s">
        <v>245</v>
      </c>
      <c r="C53" s="35"/>
      <c r="D53" s="35"/>
      <c r="E53" s="35"/>
      <c r="F53" s="182">
        <f>((C53+D53+E53)/3)*(1+Parâmetros!C11)</f>
        <v>0</v>
      </c>
      <c r="G53" s="182">
        <f>((D53+E53+F53)/3)*(1+Parâmetros!D11)</f>
        <v>0</v>
      </c>
      <c r="H53" s="182">
        <f>((E53+F53+G53)/3)*(1+Parâmetros!E11)</f>
        <v>0</v>
      </c>
      <c r="I53" s="182">
        <f>((F53+G53+H53)/3)*(1+Parâmetros!F11)</f>
        <v>0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</row>
    <row r="54" spans="1:177" ht="12.75">
      <c r="A54" s="164" t="s">
        <v>247</v>
      </c>
      <c r="B54" s="165" t="s">
        <v>243</v>
      </c>
      <c r="C54" s="35"/>
      <c r="D54" s="35"/>
      <c r="E54" s="35"/>
      <c r="F54" s="182">
        <f>((C54+D54+E54)/3)*(1+Parâmetros!C11)</f>
        <v>0</v>
      </c>
      <c r="G54" s="182">
        <f>((D54+E54+F54)/3)*(1+Parâmetros!D11)</f>
        <v>0</v>
      </c>
      <c r="H54" s="182">
        <f>((E54+F54+G54)/3)*(1+Parâmetros!E11)</f>
        <v>0</v>
      </c>
      <c r="I54" s="182">
        <f>((F54+G54+H54)/3)*(1+Parâmetros!F11)</f>
        <v>0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</row>
    <row r="55" spans="1:177" ht="12.75">
      <c r="A55" s="164" t="s">
        <v>248</v>
      </c>
      <c r="B55" s="165" t="s">
        <v>242</v>
      </c>
      <c r="C55" s="35"/>
      <c r="D55" s="35"/>
      <c r="E55" s="35"/>
      <c r="F55" s="182">
        <f>((C55+D55+E55)/3)*(1+Parâmetros!C11)</f>
        <v>0</v>
      </c>
      <c r="G55" s="182">
        <f>((D55+E55+F55)/3)*(1+Parâmetros!D11)</f>
        <v>0</v>
      </c>
      <c r="H55" s="182">
        <f>((E55+F55+G55)/3)*(1+Parâmetros!E11)</f>
        <v>0</v>
      </c>
      <c r="I55" s="182">
        <f>((F55+G55+H55)/3)*(1+Parâmetros!F11)</f>
        <v>0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</row>
    <row r="56" spans="1:177" ht="12.75">
      <c r="A56" s="164" t="s">
        <v>101</v>
      </c>
      <c r="B56" s="165" t="s">
        <v>244</v>
      </c>
      <c r="C56" s="35"/>
      <c r="D56" s="35">
        <v>100000</v>
      </c>
      <c r="E56" s="35">
        <v>100</v>
      </c>
      <c r="F56" s="182">
        <f>((C56+D56+E56)/3)*(1+Parâmetros!C11)</f>
        <v>34564.53</v>
      </c>
      <c r="G56" s="182">
        <f>((D56+E56+F56)/3)*(1+Parâmetros!D11)</f>
        <v>46382.95294966667</v>
      </c>
      <c r="H56" s="182">
        <f>((E56+F56+G56)/3)*(1+Parâmetros!E11)</f>
        <v>27888.438882980303</v>
      </c>
      <c r="I56" s="182">
        <f>((F56+G56+H56)/3)*(1+Parâmetros!F11)</f>
        <v>37443.184974491654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</row>
    <row r="57" spans="1:177" ht="12.75">
      <c r="A57" s="164" t="s">
        <v>231</v>
      </c>
      <c r="B57" s="165" t="s">
        <v>232</v>
      </c>
      <c r="C57" s="35">
        <v>420250.83</v>
      </c>
      <c r="D57" s="35">
        <v>1362479.51</v>
      </c>
      <c r="E57" s="35"/>
      <c r="F57" s="182">
        <f>((C57+D57+E57)/3)*(1+Parâmetros!C11)+759651.3</f>
        <v>1375228.086402</v>
      </c>
      <c r="G57" s="182">
        <f>((D57+E57+F57)/3)*(1+Parâmetros!D11)</f>
        <v>942957.7531207289</v>
      </c>
      <c r="H57" s="182">
        <f>((E57+F57+G57)/3)*(1+Parâmetros!E11)</f>
        <v>797687.747379771</v>
      </c>
      <c r="I57" s="182">
        <f>((F57+G57+H57)/3)*(1+Parâmetros!F11)</f>
        <v>1071964.3763473567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</row>
    <row r="58" spans="1:177" s="7" customFormat="1" ht="12.75">
      <c r="A58" s="162" t="s">
        <v>102</v>
      </c>
      <c r="B58" s="163" t="s">
        <v>103</v>
      </c>
      <c r="C58" s="181">
        <f aca="true" t="shared" si="10" ref="C58:I58">SUM(C59:C71)</f>
        <v>6598359.5</v>
      </c>
      <c r="D58" s="181">
        <f t="shared" si="10"/>
        <v>6822888.119999999</v>
      </c>
      <c r="E58" s="181">
        <f t="shared" si="10"/>
        <v>6956299.2</v>
      </c>
      <c r="F58" s="181">
        <f t="shared" si="10"/>
        <v>7744035.993898334</v>
      </c>
      <c r="G58" s="181">
        <f t="shared" si="10"/>
        <v>8145093.263786065</v>
      </c>
      <c r="H58" s="181">
        <f t="shared" si="10"/>
        <v>8606650.201143894</v>
      </c>
      <c r="I58" s="181">
        <f t="shared" si="10"/>
        <v>9183097.592052696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</row>
    <row r="59" spans="1:177" ht="12.75">
      <c r="A59" s="164" t="s">
        <v>104</v>
      </c>
      <c r="B59" s="165" t="s">
        <v>105</v>
      </c>
      <c r="C59" s="35">
        <v>5330704.01</v>
      </c>
      <c r="D59" s="35">
        <v>5614925.61</v>
      </c>
      <c r="E59" s="35">
        <v>5700000</v>
      </c>
      <c r="F59" s="182">
        <f>((C59+D59+E59)/3)*(1+Parâmetros!C17)</f>
        <v>5936941.231133334</v>
      </c>
      <c r="G59" s="182">
        <f>((D59+E59+F59)/3)*(1+Parâmetros!D17)</f>
        <v>6153165.840004223</v>
      </c>
      <c r="H59" s="182">
        <f>((E59+F59+G59)/3)*(1+Parâmetros!E17)</f>
        <v>6345138.18870573</v>
      </c>
      <c r="I59" s="182">
        <f>((F59+G59+H59)/3)*(1+Parâmetros!F17)</f>
        <v>6575237.476010774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</row>
    <row r="60" spans="1:177" ht="12.75">
      <c r="A60" s="164" t="s">
        <v>108</v>
      </c>
      <c r="B60" s="165" t="s">
        <v>109</v>
      </c>
      <c r="C60" s="35">
        <v>421261.94</v>
      </c>
      <c r="D60" s="35">
        <v>462619.23</v>
      </c>
      <c r="E60" s="35">
        <v>490000</v>
      </c>
      <c r="F60" s="182">
        <f>((C60+D60+E60)/3)*(1+Parâmetros!C17)</f>
        <v>490017.6173</v>
      </c>
      <c r="G60" s="182">
        <f>((D60+E60+F60)/3)*(1+Parâmetros!D17)</f>
        <v>514540.47553700005</v>
      </c>
      <c r="H60" s="182">
        <f>((E60+F60+G60)/3)*(1+Parâmetros!E17)</f>
        <v>533059.0531118633</v>
      </c>
      <c r="I60" s="182">
        <f>((F60+G60+H60)/3)*(1+Parâmetros!F17)</f>
        <v>548416.7820550946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</row>
    <row r="61" spans="1:177" ht="12.75">
      <c r="A61" s="164" t="s">
        <v>110</v>
      </c>
      <c r="B61" s="165" t="s">
        <v>111</v>
      </c>
      <c r="C61" s="35">
        <v>79047.57</v>
      </c>
      <c r="D61" s="35">
        <v>80058.56</v>
      </c>
      <c r="E61" s="35">
        <v>60000</v>
      </c>
      <c r="F61" s="182">
        <f>((C61+D61+E61)/3)*(1+Parâmetros!C17)</f>
        <v>78147.85303333333</v>
      </c>
      <c r="G61" s="182">
        <f>((D61+E61+F61)/3)*(1+Parâmetros!D17)</f>
        <v>77826.95398188889</v>
      </c>
      <c r="H61" s="182">
        <f>((E61+F61+G61)/3)*(1+Parâmetros!E17)</f>
        <v>77031.01450209593</v>
      </c>
      <c r="I61" s="182">
        <f>((F61+G61+H61)/3)*(1+Parâmetros!F17)</f>
        <v>83105.40967451014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</row>
    <row r="62" spans="1:177" ht="12.75">
      <c r="A62" s="164" t="s">
        <v>112</v>
      </c>
      <c r="B62" s="165" t="s">
        <v>113</v>
      </c>
      <c r="C62" s="35">
        <v>8888.55</v>
      </c>
      <c r="D62" s="35">
        <v>7501.3</v>
      </c>
      <c r="E62" s="35">
        <v>15000</v>
      </c>
      <c r="F62" s="182">
        <f>((C62+D62+E62)/3)*(1+Parâmetros!C17)</f>
        <v>11195.713166666666</v>
      </c>
      <c r="G62" s="182">
        <f>((D62+E62+F62)/3)*(1+Parâmetros!D17)</f>
        <v>12018.601362777777</v>
      </c>
      <c r="H62" s="182">
        <f>((E62+F62+G62)/3)*(1+Parâmetros!E17)</f>
        <v>13629.772182168519</v>
      </c>
      <c r="I62" s="182">
        <f>((F62+G62+H62)/3)*(1+Parâmetros!F17)</f>
        <v>13141.057593808626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</row>
    <row r="63" spans="1:177" ht="12.75">
      <c r="A63" s="164" t="s">
        <v>114</v>
      </c>
      <c r="B63" s="165" t="s">
        <v>115</v>
      </c>
      <c r="C63" s="35"/>
      <c r="D63" s="35"/>
      <c r="E63" s="35"/>
      <c r="F63" s="182">
        <f>((C63+D63+E63)/3)*(1+Parâmetros!C11)</f>
        <v>0</v>
      </c>
      <c r="G63" s="182">
        <f>((D63+E63+F63)/3)*(1+Parâmetros!D11)</f>
        <v>0</v>
      </c>
      <c r="H63" s="182">
        <f>((E63+F63+G63)/3)*(1+Parâmetros!E11)</f>
        <v>0</v>
      </c>
      <c r="I63" s="182">
        <f>((F63+G63+H63)/3)*(1+Parâmetros!F11)</f>
        <v>0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</row>
    <row r="64" spans="1:177" ht="12.75">
      <c r="A64" s="164" t="s">
        <v>116</v>
      </c>
      <c r="B64" s="165" t="s">
        <v>117</v>
      </c>
      <c r="C64" s="35"/>
      <c r="D64" s="35"/>
      <c r="E64" s="35"/>
      <c r="F64" s="182">
        <f>((C64+D64+E64)/3)*(1+Parâmetros!C11)</f>
        <v>0</v>
      </c>
      <c r="G64" s="182">
        <f>((D64+E64+F64)/3)*(1+Parâmetros!D11)</f>
        <v>0</v>
      </c>
      <c r="H64" s="182">
        <f>((E64+F64+G64)/3)*(1+Parâmetros!E11)</f>
        <v>0</v>
      </c>
      <c r="I64" s="182">
        <f>((F64+G64+H64)/3)*(1+Parâmetros!F11)</f>
        <v>0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</row>
    <row r="65" spans="1:177" ht="25.5">
      <c r="A65" s="164" t="s">
        <v>251</v>
      </c>
      <c r="B65" s="165" t="s">
        <v>118</v>
      </c>
      <c r="C65" s="35">
        <v>366687.3</v>
      </c>
      <c r="D65" s="35">
        <v>440794.22</v>
      </c>
      <c r="E65" s="35">
        <v>387900</v>
      </c>
      <c r="F65" s="182">
        <f>((C65+D65+E65)/3)*(1+Parâmetros!C11)</f>
        <v>412765.238856</v>
      </c>
      <c r="G65" s="182">
        <f>((D65+E65+F65)/3)*(1+Parâmetros!D11)</f>
        <v>427600.01961196837</v>
      </c>
      <c r="H65" s="182">
        <f>((E65+F65+G65)/3)*(1+Parâmetros!E11)</f>
        <v>422646.0754388279</v>
      </c>
      <c r="I65" s="182">
        <f>((F65+G65+H65)/3)*(1+Parâmetros!F11)</f>
        <v>434517.99924173485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</row>
    <row r="66" spans="1:177" ht="12.75">
      <c r="A66" s="164" t="s">
        <v>252</v>
      </c>
      <c r="B66" s="165" t="s">
        <v>253</v>
      </c>
      <c r="C66" s="35"/>
      <c r="D66" s="35"/>
      <c r="E66" s="35"/>
      <c r="F66" s="182">
        <f>((C66+D66+E66)/3)*(1+Parâmetros!C11)</f>
        <v>0</v>
      </c>
      <c r="G66" s="182">
        <f>((D66+E66+F66)/3)*(1+Parâmetros!D11)</f>
        <v>0</v>
      </c>
      <c r="H66" s="182">
        <f>((E66+F66+G66)/3)*(1+Parâmetros!E11)</f>
        <v>0</v>
      </c>
      <c r="I66" s="182">
        <f>((F66+G66+H66)/3)*(1+Parâmetros!F11)</f>
        <v>0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</row>
    <row r="67" spans="1:177" ht="12.75">
      <c r="A67" s="164" t="s">
        <v>256</v>
      </c>
      <c r="B67" s="165" t="s">
        <v>254</v>
      </c>
      <c r="C67" s="35"/>
      <c r="D67" s="35"/>
      <c r="E67" s="35"/>
      <c r="F67" s="182">
        <f>((C67+D67+E67)/3)*(1+Parâmetros!C11)</f>
        <v>0</v>
      </c>
      <c r="G67" s="182">
        <f>((D67+E67+F67)/3)*(1+Parâmetros!D11)</f>
        <v>0</v>
      </c>
      <c r="H67" s="182">
        <f>((E67+F67+G67)/3)*(1+Parâmetros!E11)</f>
        <v>0</v>
      </c>
      <c r="I67" s="182">
        <f>((F67+G67+H67)/3)*(1+Parâmetros!F11)</f>
        <v>0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</row>
    <row r="68" spans="1:177" ht="12.75">
      <c r="A68" s="164" t="s">
        <v>255</v>
      </c>
      <c r="B68" s="165" t="s">
        <v>257</v>
      </c>
      <c r="C68" s="35">
        <v>327835.55</v>
      </c>
      <c r="D68" s="35">
        <v>168811.98</v>
      </c>
      <c r="E68" s="35">
        <v>302999.2</v>
      </c>
      <c r="F68" s="182">
        <f>((C68+D68+E68)/3)*(1+Parâmetros!C11)</f>
        <v>276118.015869</v>
      </c>
      <c r="G68" s="182">
        <f>((D68+E68+F68)/3)*(1+Parâmetros!D11)</f>
        <v>257611.7460304793</v>
      </c>
      <c r="H68" s="182">
        <f>((E68+F68+G68)/3)*(1+Parâmetros!E11)</f>
        <v>287918.43578961084</v>
      </c>
      <c r="I68" s="182">
        <f>((F68+G68+H68)/3)*(1+Parâmetros!F11)</f>
        <v>282674.3682783033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</row>
    <row r="69" spans="1:177" ht="12.75">
      <c r="A69" s="164" t="s">
        <v>260</v>
      </c>
      <c r="B69" s="165" t="s">
        <v>258</v>
      </c>
      <c r="C69" s="35"/>
      <c r="D69" s="35"/>
      <c r="E69" s="35"/>
      <c r="F69" s="182">
        <f>((C69+D69+E69)/3)*(1+Parâmetros!C11)</f>
        <v>0</v>
      </c>
      <c r="G69" s="182">
        <f>((D69+E69+F69)/3)*(1+Parâmetros!D11)</f>
        <v>0</v>
      </c>
      <c r="H69" s="182">
        <f>((E69+F69+G69)/3)*(1+Parâmetros!E11)</f>
        <v>0</v>
      </c>
      <c r="I69" s="182">
        <f>((F69+G69+H69)/3)*(1+Parâmetros!F11)</f>
        <v>0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</row>
    <row r="70" spans="1:177" ht="12.75">
      <c r="A70" s="164" t="s">
        <v>259</v>
      </c>
      <c r="B70" s="165" t="s">
        <v>261</v>
      </c>
      <c r="C70" s="35"/>
      <c r="D70" s="35"/>
      <c r="E70" s="35"/>
      <c r="F70" s="182">
        <f>((C70+D70+E70)/3)*(1+Parâmetros!C11)</f>
        <v>0</v>
      </c>
      <c r="G70" s="182">
        <f>((D70+E70+F70)/3)*(1+Parâmetros!D11)</f>
        <v>0</v>
      </c>
      <c r="H70" s="182">
        <f>((E70+F70+G70)/3)*(1+Parâmetros!E11)</f>
        <v>0</v>
      </c>
      <c r="I70" s="182">
        <f>((F70+G70+H70)/3)*(1+Parâmetros!F11)</f>
        <v>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</row>
    <row r="71" spans="1:177" ht="12.75">
      <c r="A71" s="164" t="s">
        <v>119</v>
      </c>
      <c r="B71" s="165" t="s">
        <v>117</v>
      </c>
      <c r="C71" s="35">
        <v>63934.58</v>
      </c>
      <c r="D71" s="35">
        <v>48177.22</v>
      </c>
      <c r="E71" s="35">
        <v>400</v>
      </c>
      <c r="F71" s="182">
        <f>((C71+D71+E71)/3)*(1+Parâmetros!C11)+500000</f>
        <v>538850.32454</v>
      </c>
      <c r="G71" s="182">
        <f>((D71+E71+F71)/3)*(1+Parâmetros!D11)+500000</f>
        <v>702329.6272577273</v>
      </c>
      <c r="H71" s="182">
        <f>((E71+F71+G71)/3)*(1+Parâmetros!E11)+500000</f>
        <v>927227.6614135979</v>
      </c>
      <c r="I71" s="182">
        <f>((F71+G71+H71)/3)*(1+Parâmetros!F11)+500000</f>
        <v>1246004.4991984696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</row>
    <row r="72" spans="1:177" ht="12.75">
      <c r="A72" s="164" t="s">
        <v>120</v>
      </c>
      <c r="B72" s="165" t="s">
        <v>121</v>
      </c>
      <c r="C72" s="35">
        <v>50205.36</v>
      </c>
      <c r="D72" s="35">
        <v>103683.64</v>
      </c>
      <c r="E72" s="35">
        <v>74400</v>
      </c>
      <c r="F72" s="182">
        <f>((C72+D72+E72)/3)*(1+Parâmetros!C11)</f>
        <v>78828.1917</v>
      </c>
      <c r="G72" s="182">
        <f>((D72+E72+F72)/3)*(1+Parâmetros!D11)</f>
        <v>88488.99856520335</v>
      </c>
      <c r="H72" s="182">
        <f>((E72+F72+G72)/3)*(1+Parâmetros!E11)</f>
        <v>83174.88517025649</v>
      </c>
      <c r="I72" s="182">
        <f>((F72+G72+H72)/3)*(1+Parâmetros!F11)</f>
        <v>86177.62368564603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</row>
    <row r="73" spans="1:177" ht="12.75">
      <c r="A73" s="164" t="s">
        <v>122</v>
      </c>
      <c r="B73" s="165" t="s">
        <v>123</v>
      </c>
      <c r="C73" s="35">
        <v>8392.04</v>
      </c>
      <c r="D73" s="35">
        <v>10197.24</v>
      </c>
      <c r="E73" s="35">
        <v>28602.03</v>
      </c>
      <c r="F73" s="182">
        <f>((C73+D73+E73)/3)*(1+Parâmetros!C11)</f>
        <v>16295.159343000001</v>
      </c>
      <c r="G73" s="182">
        <f>((D73+E73+F73)/3)*(1+Parâmetros!D11)</f>
        <v>18976.357946707303</v>
      </c>
      <c r="H73" s="182">
        <f>((E73+F73+G73)/3)*(1+Parâmetros!E11)</f>
        <v>21978.887622388283</v>
      </c>
      <c r="I73" s="182">
        <f>((F73+G73+H73)/3)*(1+Parâmetros!F11)</f>
        <v>19696.047636591287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</row>
    <row r="74" spans="1:177" s="71" customFormat="1" ht="12.75">
      <c r="A74" s="162" t="s">
        <v>191</v>
      </c>
      <c r="B74" s="163" t="s">
        <v>192</v>
      </c>
      <c r="C74" s="69">
        <v>2259269.33</v>
      </c>
      <c r="D74" s="69">
        <v>2392632.97</v>
      </c>
      <c r="E74" s="69">
        <v>2390000</v>
      </c>
      <c r="F74" s="183">
        <f>((C74+D74+E74)/3)*(1+Parâmetros!C11)</f>
        <v>2431568.8641900006</v>
      </c>
      <c r="G74" s="183">
        <f>((D74+E74+F74)/3)*(1+Parâmetros!D11)</f>
        <v>2484811.58508951</v>
      </c>
      <c r="H74" s="183">
        <f>((E74+F74+G74)/3)*(1+Parâmetros!E11)</f>
        <v>2514125.51259708</v>
      </c>
      <c r="I74" s="183">
        <f>((F74+G74+H74)/3)*(1+Parâmetros!F11)</f>
        <v>2556341.73441761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</row>
    <row r="75" spans="1:177" ht="12.75">
      <c r="A75" s="164" t="s">
        <v>125</v>
      </c>
      <c r="B75" s="165" t="s">
        <v>126</v>
      </c>
      <c r="C75" s="35"/>
      <c r="D75" s="35"/>
      <c r="E75" s="35"/>
      <c r="F75" s="182">
        <f>((C75+D75+E75)/3)*(1+Parâmetros!C11)</f>
        <v>0</v>
      </c>
      <c r="G75" s="182">
        <f>((D75+E75+F75)/3)*(1+Parâmetros!D11)</f>
        <v>0</v>
      </c>
      <c r="H75" s="182">
        <f>((E75+F75+G75)/3)*(1+Parâmetros!E11)</f>
        <v>0</v>
      </c>
      <c r="I75" s="182">
        <f>((F75+G75+H75)/3)*(1+Parâmetros!F11)</f>
        <v>0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</row>
    <row r="76" spans="1:177" ht="12.75">
      <c r="A76" s="164" t="s">
        <v>127</v>
      </c>
      <c r="B76" s="165" t="s">
        <v>128</v>
      </c>
      <c r="C76" s="35"/>
      <c r="D76" s="35"/>
      <c r="E76" s="35">
        <v>20000</v>
      </c>
      <c r="F76" s="182">
        <f>((C76+D76+E76)/3)*(1+Parâmetros!C11)</f>
        <v>6906.000000000001</v>
      </c>
      <c r="G76" s="182">
        <f>((D76+E76+F76)/3)*(1+Parâmetros!D11)</f>
        <v>9267.323266666666</v>
      </c>
      <c r="H76" s="182">
        <f>((E76+F76+G76)/3)*(1+Parâmetros!E11)</f>
        <v>12447.24053606</v>
      </c>
      <c r="I76" s="182">
        <f>((F76+G76+H76)/3)*(1+Parâmetros!F11)</f>
        <v>9846.427966931398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</row>
    <row r="77" spans="1:177" s="7" customFormat="1" ht="12.75">
      <c r="A77" s="162" t="s">
        <v>129</v>
      </c>
      <c r="B77" s="163" t="s">
        <v>130</v>
      </c>
      <c r="C77" s="181">
        <f aca="true" t="shared" si="11" ref="C77:I77">C78+C79+C82</f>
        <v>169202.42</v>
      </c>
      <c r="D77" s="181">
        <f t="shared" si="11"/>
        <v>13682.83</v>
      </c>
      <c r="E77" s="181">
        <f t="shared" si="11"/>
        <v>221000</v>
      </c>
      <c r="F77" s="181">
        <f t="shared" si="11"/>
        <v>139461.576825</v>
      </c>
      <c r="G77" s="181">
        <f t="shared" si="11"/>
        <v>128867.80519075751</v>
      </c>
      <c r="H77" s="181">
        <f t="shared" si="11"/>
        <v>168378.24035162217</v>
      </c>
      <c r="I77" s="181">
        <f t="shared" si="11"/>
        <v>150241.9790151242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</row>
    <row r="78" spans="1:177" ht="12.75">
      <c r="A78" s="164" t="s">
        <v>131</v>
      </c>
      <c r="B78" s="165" t="s">
        <v>132</v>
      </c>
      <c r="C78" s="35"/>
      <c r="D78" s="35"/>
      <c r="E78" s="35">
        <v>37000</v>
      </c>
      <c r="F78" s="182">
        <f>((C78+D78+E78)/3)*(1+Parâmetros!C11)</f>
        <v>12776.1</v>
      </c>
      <c r="G78" s="182">
        <f>((D78+E78+F78)/3)*(1+Parâmetros!D11)</f>
        <v>17144.548043333336</v>
      </c>
      <c r="H78" s="182">
        <f>((E78+F78+G78)/3)*(1+Parâmetros!E11)</f>
        <v>23027.394991711</v>
      </c>
      <c r="I78" s="182">
        <f>((F78+G78+H78)/3)*(1+Parâmetros!F11)</f>
        <v>18215.891738823088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</row>
    <row r="79" spans="1:177" ht="12.75">
      <c r="A79" s="162" t="s">
        <v>133</v>
      </c>
      <c r="B79" s="163" t="s">
        <v>134</v>
      </c>
      <c r="C79" s="181">
        <f aca="true" t="shared" si="12" ref="C79:I79">C80+C81</f>
        <v>169018.19</v>
      </c>
      <c r="D79" s="181">
        <f t="shared" si="12"/>
        <v>12709.43</v>
      </c>
      <c r="E79" s="181">
        <f t="shared" si="12"/>
        <v>123000</v>
      </c>
      <c r="F79" s="181">
        <f t="shared" si="12"/>
        <v>105222.447186</v>
      </c>
      <c r="G79" s="181">
        <f t="shared" si="12"/>
        <v>82984.96956543128</v>
      </c>
      <c r="H79" s="181">
        <f t="shared" si="12"/>
        <v>107086.47210416751</v>
      </c>
      <c r="I79" s="181">
        <f t="shared" si="12"/>
        <v>101590.94089595451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</row>
    <row r="80" spans="1:177" ht="12.75">
      <c r="A80" s="164" t="s">
        <v>208</v>
      </c>
      <c r="B80" s="165" t="s">
        <v>209</v>
      </c>
      <c r="C80" s="35"/>
      <c r="D80" s="35"/>
      <c r="E80" s="35"/>
      <c r="F80" s="182">
        <f>((C80+D80+E80)/3)*(1+Parâmetros!C11)</f>
        <v>0</v>
      </c>
      <c r="G80" s="182">
        <f>((D80+E80+F80)/3)*(1+Parâmetros!D11)</f>
        <v>0</v>
      </c>
      <c r="H80" s="182">
        <f>((E80+F80+G80)/3)*(1+Parâmetros!E11)</f>
        <v>0</v>
      </c>
      <c r="I80" s="182">
        <f>((F80+G80+H80)/3)*(1+Parâmetros!F11)</f>
        <v>0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</row>
    <row r="81" spans="1:177" ht="12.75">
      <c r="A81" s="164" t="s">
        <v>210</v>
      </c>
      <c r="B81" s="165" t="s">
        <v>211</v>
      </c>
      <c r="C81" s="35">
        <v>169018.19</v>
      </c>
      <c r="D81" s="35">
        <v>12709.43</v>
      </c>
      <c r="E81" s="35">
        <v>123000</v>
      </c>
      <c r="F81" s="182">
        <f>((C81+D81+E81)/3)*(1+Parâmetros!C11)</f>
        <v>105222.447186</v>
      </c>
      <c r="G81" s="182">
        <f>((D81+E81+F81)/3)*(1+Parâmetros!D11)</f>
        <v>82984.96956543128</v>
      </c>
      <c r="H81" s="182">
        <f>((E81+F81+G81)/3)*(1+Parâmetros!E11)</f>
        <v>107086.47210416751</v>
      </c>
      <c r="I81" s="182">
        <f>((F81+G81+H81)/3)*(1+Parâmetros!F11)</f>
        <v>101590.94089595451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</row>
    <row r="82" spans="1:177" s="7" customFormat="1" ht="12.75">
      <c r="A82" s="162" t="s">
        <v>135</v>
      </c>
      <c r="B82" s="163" t="s">
        <v>136</v>
      </c>
      <c r="C82" s="181">
        <f aca="true" t="shared" si="13" ref="C82:I82">C83+C84+C85+C86+C87+C88</f>
        <v>184.23</v>
      </c>
      <c r="D82" s="181">
        <f t="shared" si="13"/>
        <v>973.4</v>
      </c>
      <c r="E82" s="181">
        <f t="shared" si="13"/>
        <v>61000</v>
      </c>
      <c r="F82" s="181">
        <f t="shared" si="13"/>
        <v>21463.029639</v>
      </c>
      <c r="G82" s="181">
        <f t="shared" si="13"/>
        <v>28738.287581992907</v>
      </c>
      <c r="H82" s="181">
        <f t="shared" si="13"/>
        <v>38264.37325574366</v>
      </c>
      <c r="I82" s="181">
        <f t="shared" si="13"/>
        <v>30435.146380346603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</row>
    <row r="83" spans="1:177" ht="25.5">
      <c r="A83" s="164" t="s">
        <v>137</v>
      </c>
      <c r="B83" s="165" t="s">
        <v>138</v>
      </c>
      <c r="C83" s="35"/>
      <c r="D83" s="35"/>
      <c r="E83" s="35"/>
      <c r="F83" s="182">
        <f>((C83+D83+E83)/3)*(1+Parâmetros!C11)</f>
        <v>0</v>
      </c>
      <c r="G83" s="182">
        <f>((D83+E83+F83)/3)*(1+Parâmetros!D11)</f>
        <v>0</v>
      </c>
      <c r="H83" s="182">
        <f>((E83+F83+G83)/3)*(1+Parâmetros!E11)</f>
        <v>0</v>
      </c>
      <c r="I83" s="182">
        <f>((F83+G83+H83)/3)*(1+Parâmetros!F11)</f>
        <v>0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</row>
    <row r="84" spans="1:177" ht="12.75">
      <c r="A84" s="164" t="s">
        <v>139</v>
      </c>
      <c r="B84" s="165" t="s">
        <v>140</v>
      </c>
      <c r="C84" s="35"/>
      <c r="D84" s="35"/>
      <c r="E84" s="35"/>
      <c r="F84" s="182">
        <f>((C84+D84+E84)/3)*(1+Parâmetros!C11)</f>
        <v>0</v>
      </c>
      <c r="G84" s="182">
        <f>((D84+E84+F84)/3)*(1+Parâmetros!D11)</f>
        <v>0</v>
      </c>
      <c r="H84" s="182">
        <f>((E84+F84+G84)/3)*(1+Parâmetros!E11)</f>
        <v>0</v>
      </c>
      <c r="I84" s="182">
        <f>((F84+G84+H84)/3)*(1+Parâmetros!F11)</f>
        <v>0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</row>
    <row r="85" spans="1:177" ht="12.75">
      <c r="A85" s="164" t="s">
        <v>212</v>
      </c>
      <c r="B85" s="165" t="s">
        <v>213</v>
      </c>
      <c r="C85" s="35"/>
      <c r="D85" s="35"/>
      <c r="E85" s="35"/>
      <c r="F85" s="182">
        <f>((C85+D85+E85)/3)*(1+Parâmetros!C11)</f>
        <v>0</v>
      </c>
      <c r="G85" s="182">
        <f>((D85+E85+F85)/3)*(1+Parâmetros!D11)</f>
        <v>0</v>
      </c>
      <c r="H85" s="182">
        <f>((E85+F85+G85)/3)*(1+Parâmetros!E11)</f>
        <v>0</v>
      </c>
      <c r="I85" s="182">
        <f>((F85+G85+H85)/3)*(1+Parâmetros!F11)</f>
        <v>0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</row>
    <row r="86" spans="1:177" ht="25.5">
      <c r="A86" s="164" t="s">
        <v>141</v>
      </c>
      <c r="B86" s="165" t="s">
        <v>142</v>
      </c>
      <c r="C86" s="35"/>
      <c r="D86" s="35"/>
      <c r="E86" s="35"/>
      <c r="F86" s="182">
        <f>((C86+D86+E86)/3)*(1+Parâmetros!C11)</f>
        <v>0</v>
      </c>
      <c r="G86" s="182">
        <f>((D86+E86+F86)/3)*(1+Parâmetros!D11)</f>
        <v>0</v>
      </c>
      <c r="H86" s="182">
        <f>((E86+F86+G86)/3)*(1+Parâmetros!E11)</f>
        <v>0</v>
      </c>
      <c r="I86" s="182">
        <f>((F86+G86+H86)/3)*(1+Parâmetros!F11)</f>
        <v>0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</row>
    <row r="87" spans="1:177" ht="12.75">
      <c r="A87" s="164" t="s">
        <v>214</v>
      </c>
      <c r="B87" s="165" t="s">
        <v>215</v>
      </c>
      <c r="C87" s="35"/>
      <c r="D87" s="35"/>
      <c r="E87" s="35"/>
      <c r="F87" s="182">
        <f>((C87+D87+E87)/3)*(1+Parâmetros!C11)</f>
        <v>0</v>
      </c>
      <c r="G87" s="182">
        <f>((D87+E87+F87)/3)*(1+Parâmetros!D11)</f>
        <v>0</v>
      </c>
      <c r="H87" s="182">
        <f>((E87+F87+G87)/3)*(1+Parâmetros!E11)</f>
        <v>0</v>
      </c>
      <c r="I87" s="182">
        <f>((F87+G87+H87)/3)*(1+Parâmetros!F11)</f>
        <v>0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</row>
    <row r="88" spans="1:177" ht="12.75">
      <c r="A88" s="164" t="s">
        <v>143</v>
      </c>
      <c r="B88" s="165" t="s">
        <v>216</v>
      </c>
      <c r="C88" s="35">
        <v>184.23</v>
      </c>
      <c r="D88" s="35">
        <v>973.4</v>
      </c>
      <c r="E88" s="35">
        <v>61000</v>
      </c>
      <c r="F88" s="182">
        <f>((C88+D88+E88)/3)*(1+Parâmetros!C11)</f>
        <v>21463.029639</v>
      </c>
      <c r="G88" s="182">
        <f>((D88+E88+F88)/3)*(1+Parâmetros!D11)</f>
        <v>28738.287581992907</v>
      </c>
      <c r="H88" s="182">
        <f>((E88+F88+G88)/3)*(1+Parâmetros!E11)</f>
        <v>38264.37325574366</v>
      </c>
      <c r="I88" s="182">
        <f>((F88+G88+H88)/3)*(1+Parâmetros!F11)</f>
        <v>30435.146380346603</v>
      </c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</row>
    <row r="89" spans="1:177" s="10" customFormat="1" ht="18">
      <c r="A89" s="162" t="s">
        <v>144</v>
      </c>
      <c r="B89" s="163" t="s">
        <v>145</v>
      </c>
      <c r="C89" s="181">
        <f aca="true" t="shared" si="14" ref="C89:I89">C90+C91+C96+C97+C114</f>
        <v>254153.81</v>
      </c>
      <c r="D89" s="181">
        <f t="shared" si="14"/>
        <v>2151287.58</v>
      </c>
      <c r="E89" s="181">
        <f t="shared" si="14"/>
        <v>1331641.03</v>
      </c>
      <c r="F89" s="181">
        <f t="shared" si="14"/>
        <v>3245814.2769566667</v>
      </c>
      <c r="G89" s="181">
        <f t="shared" si="14"/>
        <v>3482363.8163574412</v>
      </c>
      <c r="H89" s="181">
        <f t="shared" si="14"/>
        <v>3724630.252522569</v>
      </c>
      <c r="I89" s="181">
        <f t="shared" si="14"/>
        <v>3506825.3833004194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</row>
    <row r="90" spans="1:9" s="36" customFormat="1" ht="12.75">
      <c r="A90" s="164" t="s">
        <v>146</v>
      </c>
      <c r="B90" s="165" t="s">
        <v>147</v>
      </c>
      <c r="C90" s="35"/>
      <c r="D90" s="35">
        <v>553375.47</v>
      </c>
      <c r="E90" s="35">
        <v>928531.03</v>
      </c>
      <c r="F90" s="182">
        <f>((C90+D90+E90)/3)</f>
        <v>493968.8333333333</v>
      </c>
      <c r="G90" s="182">
        <f>((D90+E90+F90)/3)</f>
        <v>658625.1111111111</v>
      </c>
      <c r="H90" s="182">
        <f>((E90+F90+G90)/3)</f>
        <v>693708.3248148147</v>
      </c>
      <c r="I90" s="182">
        <f>((F90+G90+H90)/3)</f>
        <v>615434.0897530863</v>
      </c>
    </row>
    <row r="91" spans="1:177" s="7" customFormat="1" ht="12.75">
      <c r="A91" s="162" t="s">
        <v>148</v>
      </c>
      <c r="B91" s="163" t="s">
        <v>149</v>
      </c>
      <c r="C91" s="181">
        <f aca="true" t="shared" si="15" ref="C91:I91">C92+C93+C94+C95</f>
        <v>310</v>
      </c>
      <c r="D91" s="181">
        <f t="shared" si="15"/>
        <v>6320</v>
      </c>
      <c r="E91" s="181">
        <f t="shared" si="15"/>
        <v>300</v>
      </c>
      <c r="F91" s="181">
        <f t="shared" si="15"/>
        <v>2310</v>
      </c>
      <c r="G91" s="181">
        <f t="shared" si="15"/>
        <v>2976.6666666666665</v>
      </c>
      <c r="H91" s="181">
        <f t="shared" si="15"/>
        <v>1862.222222222222</v>
      </c>
      <c r="I91" s="181">
        <f t="shared" si="15"/>
        <v>2382.9629629629626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</row>
    <row r="92" spans="1:177" s="7" customFormat="1" ht="12.75">
      <c r="A92" s="164" t="s">
        <v>217</v>
      </c>
      <c r="B92" s="165" t="s">
        <v>218</v>
      </c>
      <c r="C92" s="35"/>
      <c r="D92" s="35"/>
      <c r="E92" s="35"/>
      <c r="F92" s="182">
        <f aca="true" t="shared" si="16" ref="F92:I96">((C92+D92+E92)/3)</f>
        <v>0</v>
      </c>
      <c r="G92" s="182">
        <f t="shared" si="16"/>
        <v>0</v>
      </c>
      <c r="H92" s="182">
        <f t="shared" si="16"/>
        <v>0</v>
      </c>
      <c r="I92" s="182">
        <f t="shared" si="16"/>
        <v>0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</row>
    <row r="93" spans="1:177" s="7" customFormat="1" ht="12.75">
      <c r="A93" s="164" t="s">
        <v>219</v>
      </c>
      <c r="B93" s="165" t="s">
        <v>220</v>
      </c>
      <c r="C93" s="59"/>
      <c r="D93" s="59"/>
      <c r="E93" s="59"/>
      <c r="F93" s="182">
        <f t="shared" si="16"/>
        <v>0</v>
      </c>
      <c r="G93" s="182">
        <f t="shared" si="16"/>
        <v>0</v>
      </c>
      <c r="H93" s="182">
        <f t="shared" si="16"/>
        <v>0</v>
      </c>
      <c r="I93" s="182">
        <f t="shared" si="16"/>
        <v>0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</row>
    <row r="94" spans="1:9" s="36" customFormat="1" ht="12.75">
      <c r="A94" s="164" t="s">
        <v>150</v>
      </c>
      <c r="B94" s="165" t="s">
        <v>151</v>
      </c>
      <c r="C94" s="35">
        <v>310</v>
      </c>
      <c r="D94" s="35">
        <v>6320</v>
      </c>
      <c r="E94" s="35">
        <v>300</v>
      </c>
      <c r="F94" s="182">
        <f t="shared" si="16"/>
        <v>2310</v>
      </c>
      <c r="G94" s="182">
        <f t="shared" si="16"/>
        <v>2976.6666666666665</v>
      </c>
      <c r="H94" s="182">
        <f t="shared" si="16"/>
        <v>1862.222222222222</v>
      </c>
      <c r="I94" s="182">
        <f t="shared" si="16"/>
        <v>2382.9629629629626</v>
      </c>
    </row>
    <row r="95" spans="1:9" s="36" customFormat="1" ht="12.75">
      <c r="A95" s="164" t="s">
        <v>152</v>
      </c>
      <c r="B95" s="165" t="s">
        <v>153</v>
      </c>
      <c r="C95" s="35"/>
      <c r="D95" s="35"/>
      <c r="E95" s="35"/>
      <c r="F95" s="182">
        <f t="shared" si="16"/>
        <v>0</v>
      </c>
      <c r="G95" s="182">
        <f t="shared" si="16"/>
        <v>0</v>
      </c>
      <c r="H95" s="182">
        <f t="shared" si="16"/>
        <v>0</v>
      </c>
      <c r="I95" s="182">
        <f t="shared" si="16"/>
        <v>0</v>
      </c>
    </row>
    <row r="96" spans="1:9" s="36" customFormat="1" ht="12.75">
      <c r="A96" s="164" t="s">
        <v>154</v>
      </c>
      <c r="B96" s="165" t="s">
        <v>155</v>
      </c>
      <c r="C96" s="35"/>
      <c r="D96" s="35"/>
      <c r="E96" s="35"/>
      <c r="F96" s="182">
        <f t="shared" si="16"/>
        <v>0</v>
      </c>
      <c r="G96" s="182">
        <f t="shared" si="16"/>
        <v>0</v>
      </c>
      <c r="H96" s="182">
        <f t="shared" si="16"/>
        <v>0</v>
      </c>
      <c r="I96" s="182">
        <f t="shared" si="16"/>
        <v>0</v>
      </c>
    </row>
    <row r="97" spans="1:177" s="7" customFormat="1" ht="12.75">
      <c r="A97" s="162" t="s">
        <v>156</v>
      </c>
      <c r="B97" s="163" t="s">
        <v>157</v>
      </c>
      <c r="C97" s="181">
        <f aca="true" t="shared" si="17" ref="C97:I97">SUM(C98:C113)</f>
        <v>247494.76</v>
      </c>
      <c r="D97" s="181">
        <f t="shared" si="17"/>
        <v>1590111.8599999999</v>
      </c>
      <c r="E97" s="181">
        <f t="shared" si="17"/>
        <v>400600</v>
      </c>
      <c r="F97" s="181">
        <f t="shared" si="17"/>
        <v>2746068.873333333</v>
      </c>
      <c r="G97" s="181">
        <f t="shared" si="17"/>
        <v>2818296.991111111</v>
      </c>
      <c r="H97" s="181">
        <f t="shared" si="17"/>
        <v>3026258.1748148142</v>
      </c>
      <c r="I97" s="181">
        <f t="shared" si="17"/>
        <v>2886003.8364197533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</row>
    <row r="98" spans="1:177" ht="12.75">
      <c r="A98" s="164" t="s">
        <v>263</v>
      </c>
      <c r="B98" s="165" t="s">
        <v>275</v>
      </c>
      <c r="C98" s="35">
        <v>137346.79</v>
      </c>
      <c r="D98" s="35">
        <v>214705.47</v>
      </c>
      <c r="E98" s="35"/>
      <c r="F98" s="182">
        <f>((C98+D98+E98)/3)</f>
        <v>117350.75333333334</v>
      </c>
      <c r="G98" s="182">
        <f aca="true" t="shared" si="18" ref="G98:I113">((D98+E98+F98)/3)</f>
        <v>110685.40777777777</v>
      </c>
      <c r="H98" s="182">
        <f t="shared" si="18"/>
        <v>76012.0537037037</v>
      </c>
      <c r="I98" s="182">
        <f t="shared" si="18"/>
        <v>101349.4049382716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</row>
    <row r="99" spans="1:177" ht="12.75">
      <c r="A99" s="164" t="s">
        <v>264</v>
      </c>
      <c r="B99" s="165" t="s">
        <v>265</v>
      </c>
      <c r="C99" s="35">
        <v>0</v>
      </c>
      <c r="D99" s="35"/>
      <c r="E99" s="35"/>
      <c r="F99" s="182">
        <f aca="true" t="shared" si="19" ref="F99:F113">((C99+D99+E99)/3)</f>
        <v>0</v>
      </c>
      <c r="G99" s="182">
        <f t="shared" si="18"/>
        <v>0</v>
      </c>
      <c r="H99" s="182">
        <f t="shared" si="18"/>
        <v>0</v>
      </c>
      <c r="I99" s="182">
        <f t="shared" si="18"/>
        <v>0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</row>
    <row r="100" spans="1:177" ht="12.75">
      <c r="A100" s="164" t="s">
        <v>266</v>
      </c>
      <c r="B100" s="165" t="s">
        <v>267</v>
      </c>
      <c r="C100" s="35"/>
      <c r="D100" s="35"/>
      <c r="E100" s="35"/>
      <c r="F100" s="182">
        <f t="shared" si="19"/>
        <v>0</v>
      </c>
      <c r="G100" s="182">
        <f t="shared" si="18"/>
        <v>0</v>
      </c>
      <c r="H100" s="182">
        <f t="shared" si="18"/>
        <v>0</v>
      </c>
      <c r="I100" s="182">
        <f t="shared" si="18"/>
        <v>0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</row>
    <row r="101" spans="1:177" ht="12.75">
      <c r="A101" s="164" t="s">
        <v>268</v>
      </c>
      <c r="B101" s="165" t="s">
        <v>269</v>
      </c>
      <c r="C101" s="35">
        <v>24792</v>
      </c>
      <c r="D101" s="35">
        <v>6499.95</v>
      </c>
      <c r="E101" s="35"/>
      <c r="F101" s="182">
        <f t="shared" si="19"/>
        <v>10430.65</v>
      </c>
      <c r="G101" s="182">
        <f t="shared" si="18"/>
        <v>5643.533333333333</v>
      </c>
      <c r="H101" s="182">
        <f t="shared" si="18"/>
        <v>5358.061111111111</v>
      </c>
      <c r="I101" s="182">
        <f t="shared" si="18"/>
        <v>7144.081481481481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</row>
    <row r="102" spans="1:177" ht="12.75">
      <c r="A102" s="164" t="s">
        <v>270</v>
      </c>
      <c r="B102" s="165" t="s">
        <v>271</v>
      </c>
      <c r="C102" s="35">
        <v>85355.97</v>
      </c>
      <c r="D102" s="35">
        <v>1368906.44</v>
      </c>
      <c r="E102" s="35">
        <v>400600</v>
      </c>
      <c r="F102" s="182">
        <f>((C102+D102+E102)/3)+2000000</f>
        <v>2618287.4699999997</v>
      </c>
      <c r="G102" s="182">
        <f>((D102+E102+F102)/3)+1239370.08</f>
        <v>2701968.05</v>
      </c>
      <c r="H102" s="182">
        <f>((E102+F102+G102)/3)+1037936.22</f>
        <v>2944888.0599999996</v>
      </c>
      <c r="I102" s="182">
        <f>((F102+G102+H102)/3)+22462.49</f>
        <v>2777510.35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</row>
    <row r="103" spans="1:177" ht="12.75">
      <c r="A103" s="164" t="s">
        <v>272</v>
      </c>
      <c r="B103" s="165" t="s">
        <v>273</v>
      </c>
      <c r="C103" s="35"/>
      <c r="D103" s="35"/>
      <c r="E103" s="35"/>
      <c r="F103" s="182">
        <f t="shared" si="19"/>
        <v>0</v>
      </c>
      <c r="G103" s="182">
        <f t="shared" si="18"/>
        <v>0</v>
      </c>
      <c r="H103" s="182">
        <f t="shared" si="18"/>
        <v>0</v>
      </c>
      <c r="I103" s="182">
        <f t="shared" si="18"/>
        <v>0</v>
      </c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</row>
    <row r="104" spans="1:177" ht="12.75">
      <c r="A104" s="164" t="s">
        <v>276</v>
      </c>
      <c r="B104" s="165" t="s">
        <v>278</v>
      </c>
      <c r="C104" s="35"/>
      <c r="D104" s="35"/>
      <c r="E104" s="35"/>
      <c r="F104" s="182">
        <f t="shared" si="19"/>
        <v>0</v>
      </c>
      <c r="G104" s="182">
        <f t="shared" si="18"/>
        <v>0</v>
      </c>
      <c r="H104" s="182">
        <f t="shared" si="18"/>
        <v>0</v>
      </c>
      <c r="I104" s="182">
        <f t="shared" si="18"/>
        <v>0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</row>
    <row r="105" spans="1:177" ht="12.75">
      <c r="A105" s="164" t="s">
        <v>277</v>
      </c>
      <c r="B105" s="165" t="s">
        <v>279</v>
      </c>
      <c r="C105" s="35"/>
      <c r="D105" s="35"/>
      <c r="E105" s="35"/>
      <c r="F105" s="182">
        <f t="shared" si="19"/>
        <v>0</v>
      </c>
      <c r="G105" s="182">
        <f t="shared" si="18"/>
        <v>0</v>
      </c>
      <c r="H105" s="182">
        <f t="shared" si="18"/>
        <v>0</v>
      </c>
      <c r="I105" s="182">
        <f t="shared" si="18"/>
        <v>0</v>
      </c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</row>
    <row r="106" spans="1:177" ht="12.75">
      <c r="A106" s="164" t="s">
        <v>280</v>
      </c>
      <c r="B106" s="165" t="s">
        <v>281</v>
      </c>
      <c r="C106" s="35"/>
      <c r="D106" s="35"/>
      <c r="E106" s="35"/>
      <c r="F106" s="182">
        <f t="shared" si="19"/>
        <v>0</v>
      </c>
      <c r="G106" s="182">
        <f t="shared" si="18"/>
        <v>0</v>
      </c>
      <c r="H106" s="182">
        <f t="shared" si="18"/>
        <v>0</v>
      </c>
      <c r="I106" s="182">
        <f t="shared" si="18"/>
        <v>0</v>
      </c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</row>
    <row r="107" spans="1:177" ht="12.75">
      <c r="A107" s="164" t="s">
        <v>282</v>
      </c>
      <c r="B107" s="165" t="s">
        <v>283</v>
      </c>
      <c r="C107" s="35"/>
      <c r="D107" s="35"/>
      <c r="E107" s="35"/>
      <c r="F107" s="182">
        <f t="shared" si="19"/>
        <v>0</v>
      </c>
      <c r="G107" s="182">
        <f t="shared" si="18"/>
        <v>0</v>
      </c>
      <c r="H107" s="182">
        <f t="shared" si="18"/>
        <v>0</v>
      </c>
      <c r="I107" s="182">
        <f t="shared" si="18"/>
        <v>0</v>
      </c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</row>
    <row r="108" spans="1:177" ht="12.75">
      <c r="A108" s="164" t="s">
        <v>284</v>
      </c>
      <c r="B108" s="165" t="s">
        <v>285</v>
      </c>
      <c r="C108" s="35"/>
      <c r="D108" s="35"/>
      <c r="E108" s="35"/>
      <c r="F108" s="182">
        <f t="shared" si="19"/>
        <v>0</v>
      </c>
      <c r="G108" s="182">
        <f t="shared" si="18"/>
        <v>0</v>
      </c>
      <c r="H108" s="182">
        <f t="shared" si="18"/>
        <v>0</v>
      </c>
      <c r="I108" s="182">
        <f t="shared" si="18"/>
        <v>0</v>
      </c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</row>
    <row r="109" spans="1:177" ht="12.75">
      <c r="A109" s="164" t="s">
        <v>158</v>
      </c>
      <c r="B109" s="165" t="s">
        <v>121</v>
      </c>
      <c r="C109" s="35"/>
      <c r="D109" s="35"/>
      <c r="E109" s="35"/>
      <c r="F109" s="182">
        <f t="shared" si="19"/>
        <v>0</v>
      </c>
      <c r="G109" s="182">
        <f t="shared" si="18"/>
        <v>0</v>
      </c>
      <c r="H109" s="182">
        <f t="shared" si="18"/>
        <v>0</v>
      </c>
      <c r="I109" s="182">
        <f t="shared" si="18"/>
        <v>0</v>
      </c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</row>
    <row r="110" spans="1:177" ht="12.75">
      <c r="A110" s="164" t="s">
        <v>159</v>
      </c>
      <c r="B110" s="165" t="s">
        <v>123</v>
      </c>
      <c r="C110" s="35"/>
      <c r="D110" s="35"/>
      <c r="E110" s="35"/>
      <c r="F110" s="182">
        <f t="shared" si="19"/>
        <v>0</v>
      </c>
      <c r="G110" s="182">
        <f t="shared" si="18"/>
        <v>0</v>
      </c>
      <c r="H110" s="182">
        <f t="shared" si="18"/>
        <v>0</v>
      </c>
      <c r="I110" s="182">
        <f t="shared" si="18"/>
        <v>0</v>
      </c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</row>
    <row r="111" spans="1:177" ht="12.75">
      <c r="A111" s="164" t="s">
        <v>160</v>
      </c>
      <c r="B111" s="165" t="s">
        <v>124</v>
      </c>
      <c r="C111" s="35"/>
      <c r="D111" s="35"/>
      <c r="E111" s="35"/>
      <c r="F111" s="182">
        <f t="shared" si="19"/>
        <v>0</v>
      </c>
      <c r="G111" s="182">
        <f t="shared" si="18"/>
        <v>0</v>
      </c>
      <c r="H111" s="182">
        <f t="shared" si="18"/>
        <v>0</v>
      </c>
      <c r="I111" s="182">
        <f t="shared" si="18"/>
        <v>0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</row>
    <row r="112" spans="1:177" ht="12.75">
      <c r="A112" s="164" t="s">
        <v>161</v>
      </c>
      <c r="B112" s="165" t="s">
        <v>126</v>
      </c>
      <c r="C112" s="35"/>
      <c r="D112" s="35"/>
      <c r="E112" s="35"/>
      <c r="F112" s="182">
        <f t="shared" si="19"/>
        <v>0</v>
      </c>
      <c r="G112" s="182">
        <f t="shared" si="18"/>
        <v>0</v>
      </c>
      <c r="H112" s="182">
        <f t="shared" si="18"/>
        <v>0</v>
      </c>
      <c r="I112" s="182">
        <f t="shared" si="18"/>
        <v>0</v>
      </c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</row>
    <row r="113" spans="1:177" ht="12.75">
      <c r="A113" s="164" t="s">
        <v>162</v>
      </c>
      <c r="B113" s="165" t="s">
        <v>128</v>
      </c>
      <c r="C113" s="35"/>
      <c r="D113" s="35"/>
      <c r="E113" s="35"/>
      <c r="F113" s="182">
        <f t="shared" si="19"/>
        <v>0</v>
      </c>
      <c r="G113" s="182">
        <f t="shared" si="18"/>
        <v>0</v>
      </c>
      <c r="H113" s="182">
        <f t="shared" si="18"/>
        <v>0</v>
      </c>
      <c r="I113" s="182">
        <f t="shared" si="18"/>
        <v>0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</row>
    <row r="114" spans="1:177" s="7" customFormat="1" ht="12.75">
      <c r="A114" s="162" t="s">
        <v>163</v>
      </c>
      <c r="B114" s="163" t="s">
        <v>164</v>
      </c>
      <c r="C114" s="181">
        <f aca="true" t="shared" si="20" ref="C114:I114">C115+C116</f>
        <v>6349.05</v>
      </c>
      <c r="D114" s="181">
        <f t="shared" si="20"/>
        <v>1480.25</v>
      </c>
      <c r="E114" s="181">
        <f t="shared" si="20"/>
        <v>2210</v>
      </c>
      <c r="F114" s="181">
        <f t="shared" si="20"/>
        <v>3466.5702899999997</v>
      </c>
      <c r="G114" s="181">
        <f t="shared" si="20"/>
        <v>2465.0474685523336</v>
      </c>
      <c r="H114" s="181">
        <f t="shared" si="20"/>
        <v>2801.5306707178574</v>
      </c>
      <c r="I114" s="181">
        <f t="shared" si="20"/>
        <v>3004.494164616588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</row>
    <row r="115" spans="1:177" ht="12.75">
      <c r="A115" s="164" t="s">
        <v>165</v>
      </c>
      <c r="B115" s="167" t="s">
        <v>274</v>
      </c>
      <c r="C115" s="35"/>
      <c r="D115" s="35"/>
      <c r="E115" s="35"/>
      <c r="F115" s="182">
        <f>((C115+D115+E115)/3)*(1+Parâmetros!C11)</f>
        <v>0</v>
      </c>
      <c r="G115" s="182">
        <f>((D115+E115+F115)/3)*(1+Parâmetros!D11)</f>
        <v>0</v>
      </c>
      <c r="H115" s="182">
        <f>((E115+F115+G115)/3)*(1+Parâmetros!E11)</f>
        <v>0</v>
      </c>
      <c r="I115" s="182">
        <f>((F115+G115+H115)/3)*(1+Parâmetros!F11)</f>
        <v>0</v>
      </c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</row>
    <row r="116" spans="1:177" ht="12.75">
      <c r="A116" s="164" t="s">
        <v>166</v>
      </c>
      <c r="B116" s="167" t="s">
        <v>167</v>
      </c>
      <c r="C116" s="35">
        <v>6349.05</v>
      </c>
      <c r="D116" s="35">
        <v>1480.25</v>
      </c>
      <c r="E116" s="35">
        <v>2210</v>
      </c>
      <c r="F116" s="182">
        <f>((C116+D116+E116)/3)*(1+Parâmetros!C11)</f>
        <v>3466.5702899999997</v>
      </c>
      <c r="G116" s="182">
        <f>((D116+E116+F116)/3)*(1+Parâmetros!D11)</f>
        <v>2465.0474685523336</v>
      </c>
      <c r="H116" s="182">
        <f>((E116+F116+G116)/3)*(1+Parâmetros!E11)</f>
        <v>2801.5306707178574</v>
      </c>
      <c r="I116" s="182">
        <f>((F116+G116+H116)/3)*(1+Parâmetros!F11)</f>
        <v>3004.494164616588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</row>
    <row r="117" spans="1:9" s="39" customFormat="1" ht="18">
      <c r="A117" s="168" t="s">
        <v>168</v>
      </c>
      <c r="B117" s="163" t="s">
        <v>225</v>
      </c>
      <c r="C117" s="181">
        <f aca="true" t="shared" si="21" ref="C117:I117">C118+C119</f>
        <v>0</v>
      </c>
      <c r="D117" s="181">
        <f t="shared" si="21"/>
        <v>0</v>
      </c>
      <c r="E117" s="181">
        <f t="shared" si="21"/>
        <v>0</v>
      </c>
      <c r="F117" s="181">
        <f t="shared" si="21"/>
        <v>0</v>
      </c>
      <c r="G117" s="181">
        <f t="shared" si="21"/>
        <v>0</v>
      </c>
      <c r="H117" s="181">
        <f t="shared" si="21"/>
        <v>0</v>
      </c>
      <c r="I117" s="181">
        <f t="shared" si="21"/>
        <v>0</v>
      </c>
    </row>
    <row r="118" spans="1:9" s="39" customFormat="1" ht="18">
      <c r="A118" s="169" t="s">
        <v>168</v>
      </c>
      <c r="B118" s="165" t="s">
        <v>227</v>
      </c>
      <c r="C118" s="35"/>
      <c r="D118" s="35"/>
      <c r="E118" s="35"/>
      <c r="F118" s="182">
        <f>((C118+D118+E118)/3)*(1+Parâmetros!C11)</f>
        <v>0</v>
      </c>
      <c r="G118" s="182">
        <f>((D118+E118+F118)/3)*(1+Parâmetros!D11)</f>
        <v>0</v>
      </c>
      <c r="H118" s="182">
        <f>((E118+F118+G118)/3)*(1+Parâmetros!E11)</f>
        <v>0</v>
      </c>
      <c r="I118" s="182">
        <f>((F118+G118+H118)/3)*(1+Parâmetros!F11)</f>
        <v>0</v>
      </c>
    </row>
    <row r="119" spans="1:9" s="39" customFormat="1" ht="18">
      <c r="A119" s="169" t="s">
        <v>168</v>
      </c>
      <c r="B119" s="165" t="s">
        <v>228</v>
      </c>
      <c r="C119" s="35"/>
      <c r="D119" s="35"/>
      <c r="E119" s="35"/>
      <c r="F119" s="182">
        <f>((C119+D119+E119)/3)*(1+Parâmetros!C11)</f>
        <v>0</v>
      </c>
      <c r="G119" s="182">
        <f>((D119+E119+F119)/3)*(1+Parâmetros!D11)</f>
        <v>0</v>
      </c>
      <c r="H119" s="182">
        <f>((E119+F119+G119)/3)*(1+Parâmetros!E11)</f>
        <v>0</v>
      </c>
      <c r="I119" s="182">
        <f>((F119+G119+H119)/3)*(1+Parâmetros!F11)</f>
        <v>0</v>
      </c>
    </row>
    <row r="120" spans="1:9" s="39" customFormat="1" ht="18">
      <c r="A120" s="162" t="s">
        <v>169</v>
      </c>
      <c r="B120" s="163" t="s">
        <v>170</v>
      </c>
      <c r="C120" s="181">
        <f aca="true" t="shared" si="22" ref="C120:I120">C121+C122</f>
        <v>0</v>
      </c>
      <c r="D120" s="181">
        <f t="shared" si="22"/>
        <v>0</v>
      </c>
      <c r="E120" s="181">
        <f t="shared" si="22"/>
        <v>0</v>
      </c>
      <c r="F120" s="181">
        <f t="shared" si="22"/>
        <v>0</v>
      </c>
      <c r="G120" s="181">
        <f t="shared" si="22"/>
        <v>0</v>
      </c>
      <c r="H120" s="181">
        <f t="shared" si="22"/>
        <v>0</v>
      </c>
      <c r="I120" s="181">
        <f t="shared" si="22"/>
        <v>0</v>
      </c>
    </row>
    <row r="121" spans="1:9" s="39" customFormat="1" ht="18">
      <c r="A121" s="164" t="s">
        <v>169</v>
      </c>
      <c r="B121" s="165" t="s">
        <v>229</v>
      </c>
      <c r="C121" s="35"/>
      <c r="D121" s="35"/>
      <c r="E121" s="35"/>
      <c r="F121" s="182">
        <f>((C121+D121+E121)/3)*(1+Parâmetros!C11)</f>
        <v>0</v>
      </c>
      <c r="G121" s="182">
        <f>((D121+E121+F121)/3)*(1+Parâmetros!D11)</f>
        <v>0</v>
      </c>
      <c r="H121" s="182">
        <f>((E121+F121+G121)/3)*(1+Parâmetros!E11)</f>
        <v>0</v>
      </c>
      <c r="I121" s="182">
        <f>((F121+G121+H121)/3)*(1+Parâmetros!F11)</f>
        <v>0</v>
      </c>
    </row>
    <row r="122" spans="1:9" s="39" customFormat="1" ht="18">
      <c r="A122" s="164" t="s">
        <v>169</v>
      </c>
      <c r="B122" s="165" t="s">
        <v>230</v>
      </c>
      <c r="C122" s="35"/>
      <c r="D122" s="35"/>
      <c r="E122" s="35"/>
      <c r="F122" s="182">
        <f>((C122+D122+E122)/3)*(1+Parâmetros!C11)</f>
        <v>0</v>
      </c>
      <c r="G122" s="182">
        <f>((D122+E122+F122)/3)*(1+Parâmetros!D11)</f>
        <v>0</v>
      </c>
      <c r="H122" s="182">
        <f>((E122+F122+G122)/3)*(1+Parâmetros!E11)</f>
        <v>0</v>
      </c>
      <c r="I122" s="182">
        <f>((F122+G122+H122)/3)*(1+Parâmetros!F11)</f>
        <v>0</v>
      </c>
    </row>
    <row r="123" spans="1:177" s="10" customFormat="1" ht="30.75" customHeight="1">
      <c r="A123" s="162" t="s">
        <v>171</v>
      </c>
      <c r="B123" s="163" t="s">
        <v>221</v>
      </c>
      <c r="C123" s="181">
        <f aca="true" t="shared" si="23" ref="C123:I123">C124+C125+C126+C127</f>
        <v>-2853475.0919999997</v>
      </c>
      <c r="D123" s="181">
        <f t="shared" si="23"/>
        <v>-2838420.898</v>
      </c>
      <c r="E123" s="181">
        <f t="shared" si="23"/>
        <v>-4372283.27</v>
      </c>
      <c r="F123" s="181">
        <f t="shared" si="23"/>
        <v>-3572249.388945667</v>
      </c>
      <c r="G123" s="181">
        <f t="shared" si="23"/>
        <v>-3821174.446319772</v>
      </c>
      <c r="H123" s="181">
        <f t="shared" si="23"/>
        <v>-4162571.0200072844</v>
      </c>
      <c r="I123" s="181">
        <f t="shared" si="23"/>
        <v>-4094479.24576333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</row>
    <row r="124" spans="1:177" ht="12.75">
      <c r="A124" s="164" t="s">
        <v>172</v>
      </c>
      <c r="B124" s="165" t="s">
        <v>222</v>
      </c>
      <c r="C124" s="29"/>
      <c r="D124" s="29"/>
      <c r="E124" s="29"/>
      <c r="F124" s="182">
        <f>((C124+D124+E124)/3)*(1+Parâmetros!C11)*(1+Parâmetros!C15)</f>
        <v>0</v>
      </c>
      <c r="G124" s="182">
        <f>((D124+E124+F124)/3)*(1+Parâmetros!D11)*(1+Parâmetros!D15)</f>
        <v>0</v>
      </c>
      <c r="H124" s="182">
        <f>((E124+F124+G124)/3)*(1+Parâmetros!E11)*(1+Parâmetros!E15)</f>
        <v>0</v>
      </c>
      <c r="I124" s="182">
        <f>((F124+G124+H124)/3)*(1+Parâmetros!F11)*(1+Parâmetros!F15)</f>
        <v>0</v>
      </c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</row>
    <row r="125" spans="1:177" ht="12.75">
      <c r="A125" s="164" t="s">
        <v>173</v>
      </c>
      <c r="B125" s="165" t="s">
        <v>174</v>
      </c>
      <c r="C125" s="184">
        <f aca="true" t="shared" si="24" ref="C125:I125">-((C44+C47+C52+C59+C60+C61)*0.2)</f>
        <v>-2827809.332</v>
      </c>
      <c r="D125" s="184">
        <f t="shared" si="24"/>
        <v>-2813682.498</v>
      </c>
      <c r="E125" s="184">
        <f t="shared" si="24"/>
        <v>-2900000</v>
      </c>
      <c r="F125" s="184">
        <f t="shared" si="24"/>
        <v>-3046465.419366667</v>
      </c>
      <c r="G125" s="184">
        <f t="shared" si="24"/>
        <v>-3124452.7571941116</v>
      </c>
      <c r="H125" s="184">
        <f t="shared" si="24"/>
        <v>-3235294.1496400107</v>
      </c>
      <c r="I125" s="184">
        <f t="shared" si="24"/>
        <v>-3354882.3963449486</v>
      </c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</row>
    <row r="126" spans="1:177" ht="12.75">
      <c r="A126" s="164" t="s">
        <v>175</v>
      </c>
      <c r="B126" s="165" t="s">
        <v>223</v>
      </c>
      <c r="C126" s="35">
        <v>-25665.76</v>
      </c>
      <c r="D126" s="35">
        <v>-24738.4</v>
      </c>
      <c r="E126" s="35">
        <v>-1472283.27</v>
      </c>
      <c r="F126" s="182">
        <f>((C126+D126+E126)/3)*(1+Parâmetros!C11)</f>
        <v>-525783.969579</v>
      </c>
      <c r="G126" s="182">
        <f>((D126+E126+F126)/3)*(1+Parâmetros!D11)</f>
        <v>-696721.6891256603</v>
      </c>
      <c r="H126" s="182">
        <f>((E126+F126+G126)/3)*(1+Parâmetros!E11)</f>
        <v>-927276.8703672737</v>
      </c>
      <c r="I126" s="182">
        <f>((F126+G126+H126)/3)*(1+Parâmetros!F11)</f>
        <v>-739596.849418381</v>
      </c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</row>
    <row r="127" spans="1:177" ht="12.75">
      <c r="A127" s="164" t="s">
        <v>176</v>
      </c>
      <c r="B127" s="165" t="s">
        <v>224</v>
      </c>
      <c r="C127" s="35"/>
      <c r="D127" s="35"/>
      <c r="E127" s="35"/>
      <c r="F127" s="182">
        <f>((C127+D127+E127)/3)*(1+Parâmetros!C11)</f>
        <v>0</v>
      </c>
      <c r="G127" s="182">
        <f>((D127+E127+F127)/3)*(1+Parâmetros!D11)</f>
        <v>0</v>
      </c>
      <c r="H127" s="182">
        <f>((E127+F127+G127)/3)*(1+Parâmetros!E11)</f>
        <v>0</v>
      </c>
      <c r="I127" s="182">
        <f>((F127+G127+H127)/3)*(1+Parâmetros!F11)</f>
        <v>0</v>
      </c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</row>
    <row r="128" spans="1:177" s="9" customFormat="1" ht="25.5" customHeight="1">
      <c r="A128" s="170"/>
      <c r="B128" s="171" t="s">
        <v>203</v>
      </c>
      <c r="C128" s="184">
        <f aca="true" t="shared" si="25" ref="C128:I128">C8+C89+C117+C120+C123</f>
        <v>18726908.247999996</v>
      </c>
      <c r="D128" s="184">
        <f t="shared" si="25"/>
        <v>21968415.801999994</v>
      </c>
      <c r="E128" s="184">
        <f t="shared" si="25"/>
        <v>20387000.000000004</v>
      </c>
      <c r="F128" s="184">
        <f t="shared" si="25"/>
        <v>24819913.49936387</v>
      </c>
      <c r="G128" s="184">
        <f t="shared" si="25"/>
        <v>25374584.133498207</v>
      </c>
      <c r="H128" s="184">
        <f t="shared" si="25"/>
        <v>26359926.137657426</v>
      </c>
      <c r="I128" s="184">
        <f t="shared" si="25"/>
        <v>27381295.302357763</v>
      </c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</row>
    <row r="129" spans="1:177" s="9" customFormat="1" ht="25.5" customHeight="1">
      <c r="A129" s="172"/>
      <c r="B129" s="172"/>
      <c r="C129" s="185"/>
      <c r="D129" s="185"/>
      <c r="E129" s="185"/>
      <c r="F129" s="185"/>
      <c r="G129" s="185"/>
      <c r="H129" s="185"/>
      <c r="I129" s="185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</row>
    <row r="130" spans="1:177" s="9" customFormat="1" ht="25.5" customHeight="1">
      <c r="A130" s="172"/>
      <c r="B130" s="172" t="s">
        <v>394</v>
      </c>
      <c r="C130" s="186">
        <f aca="true" t="shared" si="26" ref="C130:I130">C7</f>
        <v>2019</v>
      </c>
      <c r="D130" s="186">
        <f t="shared" si="26"/>
        <v>2020</v>
      </c>
      <c r="E130" s="186">
        <f t="shared" si="26"/>
        <v>2021</v>
      </c>
      <c r="F130" s="186">
        <f t="shared" si="26"/>
        <v>2022</v>
      </c>
      <c r="G130" s="186">
        <f t="shared" si="26"/>
        <v>2023</v>
      </c>
      <c r="H130" s="186">
        <f t="shared" si="26"/>
        <v>2024</v>
      </c>
      <c r="I130" s="186">
        <f t="shared" si="26"/>
        <v>2025</v>
      </c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</row>
    <row r="131" spans="1:177" s="9" customFormat="1" ht="25.5" customHeight="1">
      <c r="A131" s="172"/>
      <c r="B131" s="173" t="s">
        <v>395</v>
      </c>
      <c r="C131" s="187">
        <v>500994.03</v>
      </c>
      <c r="D131" s="187">
        <v>649472.37</v>
      </c>
      <c r="E131" s="187">
        <v>627805.02</v>
      </c>
      <c r="F131" s="182">
        <f>((C131+D131+E131)/3)*(1+Parâmetros!C11)</f>
        <v>614037.1213260001</v>
      </c>
      <c r="G131" s="182">
        <f>((D131+E131+F131)/3)*(1+Parâmetros!D11)</f>
        <v>651431.7615177187</v>
      </c>
      <c r="H131" s="182">
        <f>((E131+F131+G131)/3)*(1+Parâmetros!E11)</f>
        <v>651475.5499685236</v>
      </c>
      <c r="I131" s="182">
        <f>((F131+G131+H131)/3)*(1+Parâmetros!F11)</f>
        <v>659492.7830351718</v>
      </c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</row>
    <row r="132" spans="1:177" ht="12.75">
      <c r="A132" s="32"/>
      <c r="B132" s="32"/>
      <c r="C132" s="33"/>
      <c r="D132" s="33"/>
      <c r="E132" s="33"/>
      <c r="F132" s="33"/>
      <c r="G132" s="55"/>
      <c r="H132" s="55"/>
      <c r="I132" s="55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</row>
    <row r="133" spans="1:177" ht="12.75">
      <c r="A133" s="32"/>
      <c r="B133" s="32"/>
      <c r="C133" s="33"/>
      <c r="D133" s="33"/>
      <c r="E133" s="33"/>
      <c r="F133" s="33"/>
      <c r="G133" s="55"/>
      <c r="H133" s="55"/>
      <c r="I133" s="55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</row>
    <row r="134" spans="1:177" ht="15.75">
      <c r="A134" s="246" t="str">
        <f>Parâmetros!A7</f>
        <v>Município de :  TAVARES</v>
      </c>
      <c r="B134" s="244"/>
      <c r="C134" s="244"/>
      <c r="D134" s="244"/>
      <c r="E134" s="244"/>
      <c r="F134" s="244"/>
      <c r="G134" s="244"/>
      <c r="H134" s="244"/>
      <c r="I134" s="244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</row>
    <row r="135" spans="1:177" ht="15.75">
      <c r="A135" s="245" t="str">
        <f>Parâmetros!A8</f>
        <v>PLANO PLURIANUAL 2022 - 2025</v>
      </c>
      <c r="B135" s="244"/>
      <c r="C135" s="244"/>
      <c r="D135" s="244"/>
      <c r="E135" s="244"/>
      <c r="F135" s="244"/>
      <c r="G135" s="244"/>
      <c r="H135" s="244"/>
      <c r="I135" s="244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</row>
    <row r="136" spans="1:177" ht="15.75">
      <c r="A136" s="243" t="s">
        <v>286</v>
      </c>
      <c r="B136" s="244"/>
      <c r="C136" s="244"/>
      <c r="D136" s="244"/>
      <c r="E136" s="244"/>
      <c r="F136" s="244"/>
      <c r="G136" s="244"/>
      <c r="H136" s="244"/>
      <c r="I136" s="244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</row>
    <row r="137" spans="1:177" ht="15">
      <c r="A137" s="32"/>
      <c r="B137" s="32"/>
      <c r="C137" s="33"/>
      <c r="D137" s="33"/>
      <c r="E137" s="33"/>
      <c r="F137" s="33"/>
      <c r="G137" s="55"/>
      <c r="H137" s="55"/>
      <c r="I137" s="16" t="s">
        <v>28</v>
      </c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</row>
    <row r="138" spans="1:177" s="1" customFormat="1" ht="31.5">
      <c r="A138" s="188"/>
      <c r="B138" s="189" t="s">
        <v>0</v>
      </c>
      <c r="C138" s="224" t="s">
        <v>444</v>
      </c>
      <c r="D138" s="224" t="s">
        <v>444</v>
      </c>
      <c r="E138" s="224" t="s">
        <v>446</v>
      </c>
      <c r="F138" s="225" t="s">
        <v>447</v>
      </c>
      <c r="G138" s="225" t="s">
        <v>447</v>
      </c>
      <c r="H138" s="226" t="s">
        <v>447</v>
      </c>
      <c r="I138" s="227" t="s">
        <v>447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</row>
    <row r="139" spans="1:177" s="1" customFormat="1" ht="27.75" customHeight="1">
      <c r="A139" s="190"/>
      <c r="B139" s="191" t="s">
        <v>3</v>
      </c>
      <c r="C139" s="228">
        <f>C7</f>
        <v>2019</v>
      </c>
      <c r="D139" s="229">
        <f aca="true" t="shared" si="27" ref="D139:I139">C139+1</f>
        <v>2020</v>
      </c>
      <c r="E139" s="229">
        <f t="shared" si="27"/>
        <v>2021</v>
      </c>
      <c r="F139" s="229">
        <f t="shared" si="27"/>
        <v>2022</v>
      </c>
      <c r="G139" s="229">
        <f t="shared" si="27"/>
        <v>2023</v>
      </c>
      <c r="H139" s="229">
        <f t="shared" si="27"/>
        <v>2024</v>
      </c>
      <c r="I139" s="229">
        <f t="shared" si="27"/>
        <v>2025</v>
      </c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</row>
    <row r="140" spans="1:177" s="40" customFormat="1" ht="15.75">
      <c r="A140" s="192" t="s">
        <v>287</v>
      </c>
      <c r="B140" s="193" t="s">
        <v>288</v>
      </c>
      <c r="C140" s="199">
        <f aca="true" t="shared" si="28" ref="C140:I140">SUM(C141:C146)</f>
        <v>9141423.219999999</v>
      </c>
      <c r="D140" s="199">
        <f t="shared" si="28"/>
        <v>10722162.84</v>
      </c>
      <c r="E140" s="199">
        <f t="shared" si="28"/>
        <v>10815727.750000002</v>
      </c>
      <c r="F140" s="199">
        <f t="shared" si="28"/>
        <v>11123245.411522651</v>
      </c>
      <c r="G140" s="199">
        <f t="shared" si="28"/>
        <v>11812063.140630677</v>
      </c>
      <c r="H140" s="199">
        <f t="shared" si="28"/>
        <v>12194418.171149509</v>
      </c>
      <c r="I140" s="199">
        <f t="shared" si="28"/>
        <v>12690086.8328923</v>
      </c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</row>
    <row r="141" spans="1:177" s="40" customFormat="1" ht="15">
      <c r="A141" s="194"/>
      <c r="B141" s="195" t="s">
        <v>289</v>
      </c>
      <c r="C141" s="72">
        <v>772743.95</v>
      </c>
      <c r="D141" s="72">
        <v>732137.9</v>
      </c>
      <c r="E141" s="72">
        <v>745066.45</v>
      </c>
      <c r="F141" s="182">
        <f>((C141+D141+E141)/3)*(1+Parâmetros!C11)*(1+Parâmetros!C13)*(1+Parâmetros!C19)</f>
        <v>815752.5053895</v>
      </c>
      <c r="G141" s="182">
        <f>((D141+E141+F141)/3)*(1+Parâmetros!D11)*(1+Parâmetros!D13)*(1+Parâmetros!D19)</f>
        <v>829259.3115358897</v>
      </c>
      <c r="H141" s="182">
        <f>((E141+F141+G141)/3)*(1+Parâmetros!E11)*(1+Parâmetros!E13)*(1+Parâmetros!E19)</f>
        <v>863547.228231478</v>
      </c>
      <c r="I141" s="182">
        <f>((F141+G141+H141)/3)*(1+Parâmetros!F11)*(1+Parâmetros!F13)*(1+Parâmetros!F19)</f>
        <v>906179.3266772412</v>
      </c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</row>
    <row r="142" spans="1:177" s="8" customFormat="1" ht="15">
      <c r="A142" s="194"/>
      <c r="B142" s="195" t="s">
        <v>318</v>
      </c>
      <c r="C142" s="72">
        <v>2897687.23</v>
      </c>
      <c r="D142" s="72">
        <v>3313969.08</v>
      </c>
      <c r="E142" s="72">
        <v>3094011.28</v>
      </c>
      <c r="F142" s="182">
        <f>((C142+D142+E142)/3)*(1+Parâmetros!C11)*(1+Parâmetros!C13)*(1+Parâmetros!C18)</f>
        <v>3373909.3697683504</v>
      </c>
      <c r="G142" s="182">
        <f>((D142+E142+F142)/3)*(1+Parâmetros!D11)*(1+Parâmetros!D13)*(1+Parâmetros!D18)</f>
        <v>3537669.3302193736</v>
      </c>
      <c r="H142" s="182">
        <f>((E142+F142+G142)/3)*(1+Parâmetros!E11)*(1+Parâmetros!E13)*(1+Parâmetros!E18)</f>
        <v>3615069.6877194643</v>
      </c>
      <c r="I142" s="182">
        <f>((F142+G142+H142)/3)*(1+Parâmetros!F11)*(1+Parâmetros!F13)*(1+Parâmetros!F18)</f>
        <v>3802593.830333406</v>
      </c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</row>
    <row r="143" spans="1:177" s="8" customFormat="1" ht="15">
      <c r="A143" s="194"/>
      <c r="B143" s="195" t="s">
        <v>319</v>
      </c>
      <c r="C143" s="72">
        <v>2831588.51</v>
      </c>
      <c r="D143" s="72">
        <v>3107543.86</v>
      </c>
      <c r="E143" s="72">
        <v>3293500</v>
      </c>
      <c r="F143" s="182">
        <f>((C143+D143+E143)/3)*(1+Parâmetros!C11)*(1+Parâmetros!C13)*(1+Parâmetros!C18)</f>
        <v>3347429.35522905</v>
      </c>
      <c r="G143" s="182">
        <f>((D143+E143+F143)/3)*(1+Parâmetros!D11)*(1+Parâmetros!D13)*(1+Parâmetros!D18)</f>
        <v>3525584.080653663</v>
      </c>
      <c r="H143" s="182">
        <f>((E143+F143+G143)/3)*(1+Parâmetros!E11)*(1+Parâmetros!E13)*(1+Parâmetros!E18)</f>
        <v>3673212.136951604</v>
      </c>
      <c r="I143" s="182">
        <f>((F143+G143+H143)/3)*(1+Parâmetros!F11)*(1+Parâmetros!F13)*(1+Parâmetros!F18)</f>
        <v>3809665.7948028045</v>
      </c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</row>
    <row r="144" spans="1:177" s="8" customFormat="1" ht="14.25" customHeight="1">
      <c r="A144" s="194"/>
      <c r="B144" s="195" t="s">
        <v>290</v>
      </c>
      <c r="C144" s="72">
        <v>388589.99</v>
      </c>
      <c r="D144" s="72">
        <v>411319.01</v>
      </c>
      <c r="E144" s="72">
        <v>437805.02</v>
      </c>
      <c r="F144" s="182">
        <f>((C144+D144+E144)/3)*(1+Parâmetros!C11)*(1+Parâmetros!C13)*(1+Parâmetros!C18)</f>
        <v>448751.7836613001</v>
      </c>
      <c r="G144" s="182">
        <f>((D144+E144+F144)/3)*(1+Parâmetros!D11)*(1+Parâmetros!D13)*(1+Parâmetros!D18)</f>
        <v>469383.27738967753</v>
      </c>
      <c r="H144" s="182">
        <f>((E144+F144+G144)/3)*(1+Parâmetros!E11)*(1+Parâmetros!E13)*(1+Parâmetros!E18)</f>
        <v>489907.9309841235</v>
      </c>
      <c r="I144" s="182">
        <f>((F144+G144+H144)/3)*(1+Parâmetros!F11)*(1+Parâmetros!F13)*(1+Parâmetros!F18)</f>
        <v>508634.4102277998</v>
      </c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</row>
    <row r="145" spans="1:177" s="66" customFormat="1" ht="14.25" customHeight="1">
      <c r="A145" s="194"/>
      <c r="B145" s="195" t="s">
        <v>291</v>
      </c>
      <c r="C145" s="72"/>
      <c r="D145" s="72"/>
      <c r="E145" s="72"/>
      <c r="F145" s="182">
        <f>((C145+D145+E145)/3)*(1+Parâmetros!C11)*(1+Parâmetros!C13)*(1+Parâmetros!C18)</f>
        <v>0</v>
      </c>
      <c r="G145" s="182">
        <f>((D145+E145+F145)/3)*(1+Parâmetros!D11)*(1+Parâmetros!D13)*(1+Parâmetros!D18)</f>
        <v>0</v>
      </c>
      <c r="H145" s="182">
        <f>((E145+F145+G145)/3)*(1+Parâmetros!E11)*(1+Parâmetros!E13)*(1+Parâmetros!E18)</f>
        <v>0</v>
      </c>
      <c r="I145" s="182">
        <f>((F145+G145+H145)/3)*(1+Parâmetros!F11)*(1+Parâmetros!F13)*(1+Parâmetros!F18)</f>
        <v>0</v>
      </c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</row>
    <row r="146" spans="1:177" s="66" customFormat="1" ht="14.25" customHeight="1">
      <c r="A146" s="194"/>
      <c r="B146" s="195" t="s">
        <v>292</v>
      </c>
      <c r="C146" s="72">
        <f>6820614.15+1503658.71+44406.41-297667.61-2600019.62-145320.76-2686267.75-388589.99</f>
        <v>2250813.54</v>
      </c>
      <c r="D146" s="72">
        <f>9990024.94-D142-D143-D144</f>
        <v>3157192.9899999993</v>
      </c>
      <c r="E146" s="72">
        <f>10070661.3-E142-E143-E144</f>
        <v>3245345.0000000014</v>
      </c>
      <c r="F146" s="182">
        <f>((C146+D146+E146)/3)*(1+Parâmetros!C11)*(1+Parâmetros!C13)*(1+Parâmetros!C18)</f>
        <v>3137402.3974744505</v>
      </c>
      <c r="G146" s="182">
        <f>((D146+E146+F146)/3)*(1+Parâmetros!D11)*(1+Parâmetros!D13)*(1+Parâmetros!D18)</f>
        <v>3450167.140832073</v>
      </c>
      <c r="H146" s="182">
        <f>((E146+F146+G146)/3)*(1+Parâmetros!E11)*(1+Parâmetros!E13)*(1+Parâmetros!E18)</f>
        <v>3552681.187262839</v>
      </c>
      <c r="I146" s="182">
        <f>((F146+G146+H146)/3)*(1+Parâmetros!F11)*(1+Parâmetros!F13)*(1+Parâmetros!F18)</f>
        <v>3663013.470851049</v>
      </c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</row>
    <row r="147" spans="1:177" s="41" customFormat="1" ht="15.75">
      <c r="A147" s="192" t="s">
        <v>293</v>
      </c>
      <c r="B147" s="193" t="s">
        <v>294</v>
      </c>
      <c r="C147" s="199">
        <f aca="true" t="shared" si="29" ref="C147:I147">SUM(C148:C153)</f>
        <v>0</v>
      </c>
      <c r="D147" s="199">
        <f t="shared" si="29"/>
        <v>8915.64</v>
      </c>
      <c r="E147" s="199">
        <f t="shared" si="29"/>
        <v>80500</v>
      </c>
      <c r="F147" s="199">
        <f t="shared" si="29"/>
        <v>30875.220492</v>
      </c>
      <c r="G147" s="199">
        <f t="shared" si="29"/>
        <v>41432.18204879454</v>
      </c>
      <c r="H147" s="199">
        <f t="shared" si="29"/>
        <v>52581.02721428739</v>
      </c>
      <c r="I147" s="199">
        <f t="shared" si="29"/>
        <v>42965.782783406685</v>
      </c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</row>
    <row r="148" spans="1:177" ht="15">
      <c r="A148" s="194"/>
      <c r="B148" s="195" t="s">
        <v>295</v>
      </c>
      <c r="C148" s="72"/>
      <c r="D148" s="72"/>
      <c r="E148" s="72"/>
      <c r="F148" s="182">
        <f>((C148+D148+E148)/3)*(1+Parâmetros!C11)</f>
        <v>0</v>
      </c>
      <c r="G148" s="182">
        <f>((D148+E148+F148)/3)*(1+Parâmetros!D11)</f>
        <v>0</v>
      </c>
      <c r="H148" s="182">
        <f>((E148+F148+G148)/3)*(1+Parâmetros!E11)</f>
        <v>0</v>
      </c>
      <c r="I148" s="182">
        <f>((F148+G148+H148)/3)*(1+Parâmetros!F11)</f>
        <v>0</v>
      </c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</row>
    <row r="149" spans="1:177" ht="15">
      <c r="A149" s="194"/>
      <c r="B149" s="195" t="s">
        <v>296</v>
      </c>
      <c r="C149" s="72"/>
      <c r="D149" s="72"/>
      <c r="E149" s="72"/>
      <c r="F149" s="182">
        <f>((C149+D149+E149)/3)*(1+Parâmetros!C11)</f>
        <v>0</v>
      </c>
      <c r="G149" s="182">
        <f>((D149+E149+F149)/3)*(1+Parâmetros!D11)</f>
        <v>0</v>
      </c>
      <c r="H149" s="182">
        <f>((E149+F149+G149)/3)*(1+Parâmetros!E11)</f>
        <v>0</v>
      </c>
      <c r="I149" s="182">
        <f>((F149+G149+H149)/3)*(1+Parâmetros!F11)</f>
        <v>0</v>
      </c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</row>
    <row r="150" spans="1:177" ht="15">
      <c r="A150" s="194"/>
      <c r="B150" s="195" t="s">
        <v>297</v>
      </c>
      <c r="C150" s="72"/>
      <c r="D150" s="72"/>
      <c r="E150" s="72"/>
      <c r="F150" s="182">
        <f>((C150+D150+E150)/3)*(1+Parâmetros!C11)</f>
        <v>0</v>
      </c>
      <c r="G150" s="182">
        <f>((D150+E150+F150)/3)*(1+Parâmetros!D11)</f>
        <v>0</v>
      </c>
      <c r="H150" s="182">
        <f>((E150+F150+G150)/3)*(1+Parâmetros!E11)</f>
        <v>0</v>
      </c>
      <c r="I150" s="182">
        <f>((F150+G150+H150)/3)*(1+Parâmetros!F11)</f>
        <v>0</v>
      </c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</row>
    <row r="151" spans="1:177" ht="15">
      <c r="A151" s="194"/>
      <c r="B151" s="195" t="s">
        <v>298</v>
      </c>
      <c r="C151" s="72"/>
      <c r="D151" s="72"/>
      <c r="E151" s="72"/>
      <c r="F151" s="182">
        <f>((C151+D151+E151)/3)*(1+Parâmetros!C11)</f>
        <v>0</v>
      </c>
      <c r="G151" s="182">
        <f>((D151+E151+F151)/3)*(1+Parâmetros!D11)</f>
        <v>0</v>
      </c>
      <c r="H151" s="182">
        <f>((E151+F151+G151)/3)*(1+Parâmetros!E11)</f>
        <v>0</v>
      </c>
      <c r="I151" s="182">
        <f>((F151+G151+H151)/3)*(1+Parâmetros!F11)</f>
        <v>0</v>
      </c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</row>
    <row r="152" spans="1:177" s="40" customFormat="1" ht="15">
      <c r="A152" s="194"/>
      <c r="B152" s="195" t="s">
        <v>299</v>
      </c>
      <c r="C152" s="72"/>
      <c r="D152" s="72"/>
      <c r="E152" s="72"/>
      <c r="F152" s="182">
        <f>((C152+D152+E152)/3)*(1+Parâmetros!C11)</f>
        <v>0</v>
      </c>
      <c r="G152" s="182">
        <f>((D152+E152+F152)/3)*(1+Parâmetros!D11)</f>
        <v>0</v>
      </c>
      <c r="H152" s="182">
        <f>((E152+F152+G152)/3)*(1+Parâmetros!E11)</f>
        <v>0</v>
      </c>
      <c r="I152" s="182">
        <f>((F152+G152+H152)/3)*(1+Parâmetros!F11)</f>
        <v>0</v>
      </c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</row>
    <row r="153" spans="1:177" s="40" customFormat="1" ht="15">
      <c r="A153" s="194"/>
      <c r="B153" s="195" t="s">
        <v>300</v>
      </c>
      <c r="C153" s="72"/>
      <c r="D153" s="72">
        <v>8915.64</v>
      </c>
      <c r="E153" s="72">
        <v>80500</v>
      </c>
      <c r="F153" s="182">
        <f>((C153+D153+E153)/3)*(1+Parâmetros!C11)</f>
        <v>30875.220492</v>
      </c>
      <c r="G153" s="182">
        <f>((D153+E153+F153)/3)*(1+Parâmetros!D11)</f>
        <v>41432.18204879454</v>
      </c>
      <c r="H153" s="182">
        <f>((E153+F153+G153)/3)*(1+Parâmetros!E11)</f>
        <v>52581.02721428739</v>
      </c>
      <c r="I153" s="182">
        <f>((F153+G153+H153)/3)*(1+Parâmetros!F11)</f>
        <v>42965.782783406685</v>
      </c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</row>
    <row r="154" spans="1:177" s="40" customFormat="1" ht="15.75">
      <c r="A154" s="192" t="s">
        <v>303</v>
      </c>
      <c r="B154" s="193" t="s">
        <v>351</v>
      </c>
      <c r="C154" s="199">
        <f aca="true" t="shared" si="30" ref="C154:I154">SUM(C155:C160)</f>
        <v>311186.34</v>
      </c>
      <c r="D154" s="199">
        <f t="shared" si="30"/>
        <v>349749.37</v>
      </c>
      <c r="E154" s="199">
        <f t="shared" si="30"/>
        <v>381892.19</v>
      </c>
      <c r="F154" s="199">
        <f t="shared" si="30"/>
        <v>378092.89756350004</v>
      </c>
      <c r="G154" s="199">
        <f t="shared" si="30"/>
        <v>401341.01525012765</v>
      </c>
      <c r="H154" s="199">
        <f t="shared" si="30"/>
        <v>419592.92757707776</v>
      </c>
      <c r="I154" s="199">
        <f t="shared" si="30"/>
        <v>433130.4606885365</v>
      </c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</row>
    <row r="155" spans="1:177" s="40" customFormat="1" ht="15">
      <c r="A155" s="194"/>
      <c r="B155" s="195" t="s">
        <v>304</v>
      </c>
      <c r="C155" s="72">
        <v>25066.52</v>
      </c>
      <c r="D155" s="72">
        <v>24441.72</v>
      </c>
      <c r="E155" s="72">
        <v>26912.19</v>
      </c>
      <c r="F155" s="182">
        <f>((C155+D155+E155)/3)*(1+Parâmetros!C11)*(1+Parâmetros!C14)</f>
        <v>27707.373202950006</v>
      </c>
      <c r="G155" s="182">
        <f>((D155+E155+F155)/3)*(1+Parâmetros!D11)*(1+Parâmetros!D14)</f>
        <v>28592.90837676289</v>
      </c>
      <c r="H155" s="182">
        <f>((E155+F155+G155)/3)*(1+Parâmetros!E11)*(1+Parâmetros!E14)</f>
        <v>30065.08204410817</v>
      </c>
      <c r="I155" s="182">
        <f>((F155+G155+H155)/3)*(1+Parâmetros!F11)*(1+Parâmetros!F14)</f>
        <v>31198.192128651008</v>
      </c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</row>
    <row r="156" spans="1:177" s="40" customFormat="1" ht="15">
      <c r="A156" s="194"/>
      <c r="B156" s="195" t="s">
        <v>305</v>
      </c>
      <c r="C156" s="72">
        <v>84446.92</v>
      </c>
      <c r="D156" s="72">
        <v>96204.26</v>
      </c>
      <c r="E156" s="72">
        <v>100000</v>
      </c>
      <c r="F156" s="182">
        <f>((C156+D156+E156)/3)*(1+Parâmetros!C11)*(1+Parâmetros!C14)</f>
        <v>101754.2950767</v>
      </c>
      <c r="G156" s="182">
        <f>((D156+E156+F156)/3)*(1+Parâmetros!D11)*(1+Parâmetros!D14)</f>
        <v>107758.20123626394</v>
      </c>
      <c r="H156" s="182">
        <f>((E156+F156+G156)/3)*(1+Parâmetros!E11)*(1+Parâmetros!E14)</f>
        <v>111828.41248035542</v>
      </c>
      <c r="I156" s="182">
        <f>((F156+G156+H156)/3)*(1+Parâmetros!F11)*(1+Parâmetros!F14)</f>
        <v>116079.58318795473</v>
      </c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</row>
    <row r="157" spans="1:177" s="40" customFormat="1" ht="15">
      <c r="A157" s="194"/>
      <c r="B157" s="195" t="s">
        <v>306</v>
      </c>
      <c r="C157" s="72">
        <v>89529.27</v>
      </c>
      <c r="D157" s="72">
        <v>102012.95</v>
      </c>
      <c r="E157" s="72">
        <v>122300</v>
      </c>
      <c r="F157" s="182">
        <f>((C157+D157+E157)/3)*(1+Parâmetros!C11)*(1+Parâmetros!C14)</f>
        <v>113788.20449430001</v>
      </c>
      <c r="G157" s="182">
        <f>((D157+E157+F157)/3)*(1+Parâmetros!D11)*(1+Parâmetros!D14)</f>
        <v>122275.9730286361</v>
      </c>
      <c r="H157" s="182">
        <f>((E157+F157+G157)/3)*(1+Parâmetros!E11)*(1+Parâmetros!E14)</f>
        <v>129478.76915992446</v>
      </c>
      <c r="I157" s="182">
        <f>((F157+G157+H157)/3)*(1+Parâmetros!F11)*(1+Parâmetros!F14)</f>
        <v>132046.90634498314</v>
      </c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</row>
    <row r="158" spans="1:177" s="40" customFormat="1" ht="15">
      <c r="A158" s="194"/>
      <c r="B158" s="195" t="s">
        <v>308</v>
      </c>
      <c r="C158" s="72">
        <v>6276.11</v>
      </c>
      <c r="D158" s="72">
        <v>9680.53</v>
      </c>
      <c r="E158" s="72">
        <v>10800</v>
      </c>
      <c r="F158" s="182">
        <f>((C158+D158+E158)/3)*(1+Parâmetros!C11)*(1+Parâmetros!C14)</f>
        <v>9701.021181600001</v>
      </c>
      <c r="G158" s="182">
        <f>((D158+E158+F158)/3)*(1+Parâmetros!D11)*(1+Parâmetros!D14)</f>
        <v>10915.30889258155</v>
      </c>
      <c r="H158" s="182">
        <f>((E158+F158+G158)/3)*(1+Parâmetros!E11)*(1+Parâmetros!E14)</f>
        <v>11350.877137452166</v>
      </c>
      <c r="I158" s="182">
        <f>((F158+G158+H158)/3)*(1+Parâmetros!F11)*(1+Parâmetros!F14)</f>
        <v>11547.674097094505</v>
      </c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</row>
    <row r="159" spans="1:177" s="40" customFormat="1" ht="15">
      <c r="A159" s="194"/>
      <c r="B159" s="195" t="s">
        <v>307</v>
      </c>
      <c r="C159" s="72"/>
      <c r="D159" s="72"/>
      <c r="E159" s="72"/>
      <c r="F159" s="182">
        <f>((C159+D159+E159)/3)*(1+Parâmetros!C11)*(1+Parâmetros!C14)</f>
        <v>0</v>
      </c>
      <c r="G159" s="182">
        <f>((D159+E159+F159)/3)*(1+Parâmetros!D11)*(1+Parâmetros!D14)</f>
        <v>0</v>
      </c>
      <c r="H159" s="182">
        <f>((E159+F159+G159)/3)*(1+Parâmetros!E11)*(1+Parâmetros!E14)</f>
        <v>0</v>
      </c>
      <c r="I159" s="182">
        <f>((F159+G159+H159)/3)*(1+Parâmetros!F11)*(1+Parâmetros!F14)</f>
        <v>0</v>
      </c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</row>
    <row r="160" spans="1:177" s="40" customFormat="1" ht="15">
      <c r="A160" s="194"/>
      <c r="B160" s="195" t="s">
        <v>309</v>
      </c>
      <c r="C160" s="72">
        <f>286119.82-84446.92-89529.27-6276.11</f>
        <v>105867.52000000002</v>
      </c>
      <c r="D160" s="72">
        <f>325307.65-D156-D157-D158</f>
        <v>117409.91000000002</v>
      </c>
      <c r="E160" s="72">
        <f>354980-E156-E157-E158</f>
        <v>121880</v>
      </c>
      <c r="F160" s="182">
        <f>((C160+D160+E160)/3)*(1+Parâmetros!C11)*(1+Parâmetros!C14)</f>
        <v>125142.00360795004</v>
      </c>
      <c r="G160" s="182">
        <f>((D160+E160+F160)/3)*(1+Parâmetros!D11)*(1+Parâmetros!D14)</f>
        <v>131798.6237158832</v>
      </c>
      <c r="H160" s="182">
        <f>((E160+F160+G160)/3)*(1+Parâmetros!E11)*(1+Parâmetros!E14)</f>
        <v>136869.78675523758</v>
      </c>
      <c r="I160" s="182">
        <f>((F160+G160+H160)/3)*(1+Parâmetros!F11)*(1+Parâmetros!F14)</f>
        <v>142258.10492985314</v>
      </c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</row>
    <row r="161" spans="1:177" s="40" customFormat="1" ht="15.75">
      <c r="A161" s="192" t="s">
        <v>310</v>
      </c>
      <c r="B161" s="193" t="s">
        <v>311</v>
      </c>
      <c r="C161" s="199">
        <f aca="true" t="shared" si="31" ref="C161:I161">SUM(C162:C167)</f>
        <v>59729.51</v>
      </c>
      <c r="D161" s="199">
        <f t="shared" si="31"/>
        <v>273444.74</v>
      </c>
      <c r="E161" s="199">
        <f t="shared" si="31"/>
        <v>291450</v>
      </c>
      <c r="F161" s="199">
        <f t="shared" si="31"/>
        <v>226466.89120125002</v>
      </c>
      <c r="G161" s="199">
        <f t="shared" si="31"/>
        <v>286199.8907320881</v>
      </c>
      <c r="H161" s="199">
        <f t="shared" si="31"/>
        <v>290531.41389642475</v>
      </c>
      <c r="I161" s="199">
        <f t="shared" si="31"/>
        <v>290143.30027056445</v>
      </c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</row>
    <row r="162" spans="1:177" s="40" customFormat="1" ht="15.75">
      <c r="A162" s="192"/>
      <c r="B162" s="195" t="s">
        <v>312</v>
      </c>
      <c r="C162" s="72">
        <v>8759.51</v>
      </c>
      <c r="D162" s="72">
        <v>5629.74</v>
      </c>
      <c r="E162" s="72">
        <v>9000</v>
      </c>
      <c r="F162" s="182">
        <f>((C162+D162+E162)/3)*(1+Parâmetros!C11)*(1+Parâmetros!C14)</f>
        <v>8480.12342625</v>
      </c>
      <c r="G162" s="182">
        <f>((D162+E162+F162)/3)*(1+Parâmetros!D11)*(1+Parâmetros!D14)</f>
        <v>8357.797657420444</v>
      </c>
      <c r="H162" s="182">
        <f>((E162+F162+G162)/3)*(1+Parâmetros!E11)*(1+Parâmetros!E14)</f>
        <v>9335.370077135549</v>
      </c>
      <c r="I162" s="182">
        <f>((F162+G162+H162)/3)*(1+Parâmetros!F11)*(1+Parâmetros!F14)</f>
        <v>9454.708832473754</v>
      </c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</row>
    <row r="163" spans="1:177" s="40" customFormat="1" ht="15.75">
      <c r="A163" s="192"/>
      <c r="B163" s="195" t="s">
        <v>313</v>
      </c>
      <c r="C163" s="72">
        <v>21720</v>
      </c>
      <c r="D163" s="72">
        <v>92550</v>
      </c>
      <c r="E163" s="72">
        <v>93000</v>
      </c>
      <c r="F163" s="182">
        <f>((C163+D163+E163)/3)*(1+Parâmetros!C11)*(1+Parâmetros!C14)</f>
        <v>75148.84755</v>
      </c>
      <c r="G163" s="182">
        <f>((D163+E163+F163)/3)*(1+Parâmetros!D11)*(1+Parâmetros!D14)</f>
        <v>94283.04171069527</v>
      </c>
      <c r="H163" s="182">
        <f>((E163+F163+G163)/3)*(1+Parâmetros!E11)*(1+Parâmetros!E14)</f>
        <v>94817.9537493355</v>
      </c>
      <c r="I163" s="182">
        <f>((F163+G163+H163)/3)*(1+Parâmetros!F11)*(1+Parâmetros!F14)</f>
        <v>95456.29203972846</v>
      </c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</row>
    <row r="164" spans="1:177" s="8" customFormat="1" ht="15">
      <c r="A164" s="194"/>
      <c r="B164" s="195" t="s">
        <v>314</v>
      </c>
      <c r="C164" s="72">
        <v>17370</v>
      </c>
      <c r="D164" s="72">
        <v>99005</v>
      </c>
      <c r="E164" s="72">
        <v>111800</v>
      </c>
      <c r="F164" s="182">
        <f>((C164+D164+E164)/3)*(1+Parâmetros!C11)*(1+Parâmetros!C14)</f>
        <v>82728.26887500001</v>
      </c>
      <c r="G164" s="182">
        <f>((D164+E164+F164)/3)*(1+Parâmetros!D11)*(1+Parâmetros!D14)</f>
        <v>106157.77435498814</v>
      </c>
      <c r="H164" s="182">
        <f>((E164+F164+G164)/3)*(1+Parâmetros!E11)*(1+Parâmetros!E14)</f>
        <v>108639.37084921087</v>
      </c>
      <c r="I164" s="182">
        <f>((F164+G164+H164)/3)*(1+Parâmetros!F11)*(1+Parâmetros!F14)</f>
        <v>107476.59295489946</v>
      </c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</row>
    <row r="165" spans="1:177" s="8" customFormat="1" ht="15">
      <c r="A165" s="194"/>
      <c r="B165" s="195" t="s">
        <v>315</v>
      </c>
      <c r="C165" s="72">
        <v>1800</v>
      </c>
      <c r="D165" s="72">
        <v>12960</v>
      </c>
      <c r="E165" s="72">
        <v>13000</v>
      </c>
      <c r="F165" s="182">
        <f>((C165+D165+E165)/3)*(1+Parâmetros!C11)*(1+Parâmetros!C14)</f>
        <v>10064.8044</v>
      </c>
      <c r="G165" s="182">
        <f>((D165+E165+F165)/3)*(1+Parâmetros!D11)*(1+Parâmetros!D14)</f>
        <v>13028.550635282003</v>
      </c>
      <c r="H165" s="182">
        <f>((E165+F165+G165)/3)*(1+Parâmetros!E11)*(1+Parâmetros!E14)</f>
        <v>13040.709641022564</v>
      </c>
      <c r="I165" s="182">
        <f>((F165+G165+H165)/3)*(1+Parâmetros!F11)*(1+Parâmetros!F14)</f>
        <v>13052.88885334488</v>
      </c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</row>
    <row r="166" spans="1:177" s="8" customFormat="1" ht="15">
      <c r="A166" s="194"/>
      <c r="B166" s="195" t="s">
        <v>316</v>
      </c>
      <c r="C166" s="72"/>
      <c r="D166" s="72"/>
      <c r="E166" s="72"/>
      <c r="F166" s="182">
        <f>((C166+D166+E166)/3)*(1+Parâmetros!C11)*(1+Parâmetros!C14)</f>
        <v>0</v>
      </c>
      <c r="G166" s="182">
        <f>((D166+E166+F166)/3)*(1+Parâmetros!D11)*(1+Parâmetros!D14)</f>
        <v>0</v>
      </c>
      <c r="H166" s="182">
        <f>((E166+F166+G166)/3)*(1+Parâmetros!E11)*(1+Parâmetros!E14)</f>
        <v>0</v>
      </c>
      <c r="I166" s="182">
        <f>((F166+G166+H166)/3)*(1+Parâmetros!F11)*(1+Parâmetros!F14)</f>
        <v>0</v>
      </c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</row>
    <row r="167" spans="1:177" s="8" customFormat="1" ht="15">
      <c r="A167" s="194"/>
      <c r="B167" s="195" t="s">
        <v>317</v>
      </c>
      <c r="C167" s="72">
        <f>50970-C163-C164-C165</f>
        <v>10080</v>
      </c>
      <c r="D167" s="72">
        <f>267815-D163-D164-D165</f>
        <v>63300</v>
      </c>
      <c r="E167" s="72">
        <f>282450-E163-E164-E165</f>
        <v>64650</v>
      </c>
      <c r="F167" s="182">
        <f>((C167+D167+E167)/3)*(1+Parâmetros!C11)*(1+Parâmetros!C14)</f>
        <v>50044.84695000001</v>
      </c>
      <c r="G167" s="182">
        <f>((D167+E167+F167)/3)*(1+Parâmetros!D11)*(1+Parâmetros!D14)</f>
        <v>64372.72637370226</v>
      </c>
      <c r="H167" s="182">
        <f>((E167+F167+G167)/3)*(1+Parâmetros!E11)*(1+Parâmetros!E14)</f>
        <v>64698.00957972025</v>
      </c>
      <c r="I167" s="182">
        <f>((F167+G167+H167)/3)*(1+Parâmetros!F11)*(1+Parâmetros!F14)</f>
        <v>64702.81759011784</v>
      </c>
      <c r="J167" s="49"/>
      <c r="K167" s="67" t="s">
        <v>226</v>
      </c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</row>
    <row r="168" spans="1:177" s="40" customFormat="1" ht="15.75">
      <c r="A168" s="192" t="s">
        <v>301</v>
      </c>
      <c r="B168" s="193" t="s">
        <v>302</v>
      </c>
      <c r="C168" s="199">
        <f aca="true" t="shared" si="32" ref="C168:I168">SUM(C169:C174)</f>
        <v>365825.02</v>
      </c>
      <c r="D168" s="199">
        <f t="shared" si="32"/>
        <v>342412.19</v>
      </c>
      <c r="E168" s="199">
        <f t="shared" si="32"/>
        <v>321800</v>
      </c>
      <c r="F168" s="199">
        <f t="shared" si="32"/>
        <v>355671.848613</v>
      </c>
      <c r="G168" s="199">
        <f t="shared" si="32"/>
        <v>351282.0590329376</v>
      </c>
      <c r="H168" s="199">
        <f t="shared" si="32"/>
        <v>353994.21962096717</v>
      </c>
      <c r="I168" s="199">
        <f t="shared" si="32"/>
        <v>365001.5207173909</v>
      </c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</row>
    <row r="169" spans="1:177" s="40" customFormat="1" ht="15.75">
      <c r="A169" s="196"/>
      <c r="B169" s="195" t="s">
        <v>320</v>
      </c>
      <c r="C169" s="72"/>
      <c r="D169" s="72">
        <v>100</v>
      </c>
      <c r="E169" s="72">
        <v>100</v>
      </c>
      <c r="F169" s="182">
        <f>((C169+D169+E169)/3)*(1+Parâmetros!C11)</f>
        <v>69.06</v>
      </c>
      <c r="G169" s="182">
        <f>((D169+E169+F169)/3)*(1+Parâmetros!D11)</f>
        <v>92.67323266666668</v>
      </c>
      <c r="H169" s="182">
        <f>((E169+F169+G169)/3)*(1+Parâmetros!E11)</f>
        <v>90.06240536060002</v>
      </c>
      <c r="I169" s="182">
        <f>((F169+G169+H169)/3)*(1+Parâmetros!F11)</f>
        <v>86.62609266931399</v>
      </c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</row>
    <row r="170" spans="1:177" s="8" customFormat="1" ht="15">
      <c r="A170" s="194"/>
      <c r="B170" s="195" t="s">
        <v>321</v>
      </c>
      <c r="C170" s="72">
        <v>171563.46</v>
      </c>
      <c r="D170" s="72">
        <v>139226.75</v>
      </c>
      <c r="E170" s="72">
        <v>120000</v>
      </c>
      <c r="F170" s="182">
        <f>((C170+D170+E170)/3)*(1+Parâmetros!C11)</f>
        <v>148751.859513</v>
      </c>
      <c r="G170" s="182">
        <f>((D170+E170+F170)/3)*(1+Parâmetros!D11)</f>
        <v>140521.43240326096</v>
      </c>
      <c r="H170" s="182">
        <f>((E170+F170+G170)/3)*(1+Parâmetros!E11)</f>
        <v>140830.9397483854</v>
      </c>
      <c r="I170" s="182">
        <f>((F170+G170+H170)/3)*(1+Parâmetros!F11)</f>
        <v>147970.1925003605</v>
      </c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</row>
    <row r="171" spans="1:177" s="8" customFormat="1" ht="15">
      <c r="A171" s="194"/>
      <c r="B171" s="195" t="s">
        <v>322</v>
      </c>
      <c r="C171" s="72">
        <v>1226</v>
      </c>
      <c r="D171" s="72"/>
      <c r="E171" s="72">
        <v>100</v>
      </c>
      <c r="F171" s="182">
        <f>((C171+D171+E171)/3)*(1+Parâmetros!C11)</f>
        <v>457.86780000000005</v>
      </c>
      <c r="G171" s="182">
        <f>((D171+E171+F171)/3)*(1+Parâmetros!D11)</f>
        <v>192.14826591333335</v>
      </c>
      <c r="H171" s="182">
        <f>((E171+F171+G171)/3)*(1+Parâmetros!E11)</f>
        <v>258.080528280778</v>
      </c>
      <c r="I171" s="182">
        <f>((F171+G171+H171)/3)*(1+Parâmetros!F11)</f>
        <v>312.41549828924747</v>
      </c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</row>
    <row r="172" spans="1:177" s="8" customFormat="1" ht="15">
      <c r="A172" s="194"/>
      <c r="B172" s="195" t="s">
        <v>330</v>
      </c>
      <c r="C172" s="72"/>
      <c r="D172" s="72"/>
      <c r="E172" s="72">
        <v>100</v>
      </c>
      <c r="F172" s="182">
        <f>((C172+D172+E172)/3)*(1+Parâmetros!C11)</f>
        <v>34.53</v>
      </c>
      <c r="G172" s="182">
        <f>((D172+E172+F172)/3)*(1+Parâmetros!D11)</f>
        <v>46.33661633333334</v>
      </c>
      <c r="H172" s="182">
        <f>((E172+F172+G172)/3)*(1+Parâmetros!E11)</f>
        <v>62.2362026803</v>
      </c>
      <c r="I172" s="182">
        <f>((F172+G172+H172)/3)*(1+Parâmetros!F11)</f>
        <v>49.23213983465699</v>
      </c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</row>
    <row r="173" spans="1:177" s="8" customFormat="1" ht="15">
      <c r="A173" s="194"/>
      <c r="B173" s="195" t="s">
        <v>323</v>
      </c>
      <c r="C173" s="72"/>
      <c r="D173" s="72"/>
      <c r="E173" s="72"/>
      <c r="F173" s="182">
        <f>((C173+D173+E173)/3)*(1+Parâmetros!C11)</f>
        <v>0</v>
      </c>
      <c r="G173" s="182">
        <f>((D173+E173+F173)/3)*(1+Parâmetros!D11)</f>
        <v>0</v>
      </c>
      <c r="H173" s="182">
        <f>((E173+F173+G173)/3)*(1+Parâmetros!E11)</f>
        <v>0</v>
      </c>
      <c r="I173" s="182">
        <f>((F173+G173+H173)/3)*(1+Parâmetros!F11)</f>
        <v>0</v>
      </c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</row>
    <row r="174" spans="1:177" s="8" customFormat="1" ht="15">
      <c r="A174" s="194"/>
      <c r="B174" s="195" t="s">
        <v>324</v>
      </c>
      <c r="C174" s="72">
        <f>365825.02-C170-C171</f>
        <v>193035.56000000003</v>
      </c>
      <c r="D174" s="72">
        <f>342312.19-D170</f>
        <v>203085.44</v>
      </c>
      <c r="E174" s="72">
        <f>321700-E170-E171-E172</f>
        <v>201500</v>
      </c>
      <c r="F174" s="182">
        <f>((C174+D174+E174)/3)*(1+Parâmetros!C11)</f>
        <v>206358.5313</v>
      </c>
      <c r="G174" s="182">
        <f>((D174+E174+F174)/3)*(1+Parâmetros!D11)</f>
        <v>210429.46851476334</v>
      </c>
      <c r="H174" s="182">
        <f>((E174+F174+G174)/3)*(1+Parâmetros!E11)</f>
        <v>212752.90073626008</v>
      </c>
      <c r="I174" s="182">
        <f>((F174+G174+H174)/3)*(1+Parâmetros!F11)</f>
        <v>216583.05448623712</v>
      </c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</row>
    <row r="175" spans="1:177" s="8" customFormat="1" ht="15.75">
      <c r="A175" s="192" t="s">
        <v>325</v>
      </c>
      <c r="B175" s="193" t="s">
        <v>326</v>
      </c>
      <c r="C175" s="199">
        <f aca="true" t="shared" si="33" ref="C175:I175">SUM(C176:C181)</f>
        <v>203608.57</v>
      </c>
      <c r="D175" s="199">
        <f t="shared" si="33"/>
        <v>264244.19</v>
      </c>
      <c r="E175" s="199">
        <f t="shared" si="33"/>
        <v>220000</v>
      </c>
      <c r="F175" s="199">
        <f t="shared" si="33"/>
        <v>237515.558028</v>
      </c>
      <c r="G175" s="199">
        <f t="shared" si="33"/>
        <v>248598.11587911082</v>
      </c>
      <c r="H175" s="199">
        <f t="shared" si="33"/>
        <v>242973.71519143684</v>
      </c>
      <c r="I175" s="199">
        <f t="shared" si="33"/>
        <v>250830.36476287033</v>
      </c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</row>
    <row r="176" spans="1:177" s="8" customFormat="1" ht="15">
      <c r="A176" s="194"/>
      <c r="B176" s="195" t="s">
        <v>327</v>
      </c>
      <c r="C176" s="72"/>
      <c r="D176" s="72"/>
      <c r="E176" s="72"/>
      <c r="F176" s="182">
        <f>((C176+D176+E176)/3)*(1+Parâmetros!C11)</f>
        <v>0</v>
      </c>
      <c r="G176" s="182">
        <f>((D176+E176+F176)/3)*(1+Parâmetros!D11)</f>
        <v>0</v>
      </c>
      <c r="H176" s="182">
        <f>((E176+F176+G176)/3)*(1+Parâmetros!E11)</f>
        <v>0</v>
      </c>
      <c r="I176" s="182">
        <f>((F176+G176+H176)/3)*(1+Parâmetros!F11)</f>
        <v>0</v>
      </c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</row>
    <row r="177" spans="1:177" s="8" customFormat="1" ht="15">
      <c r="A177" s="194"/>
      <c r="B177" s="195" t="s">
        <v>328</v>
      </c>
      <c r="C177" s="72"/>
      <c r="D177" s="72"/>
      <c r="E177" s="72"/>
      <c r="F177" s="182">
        <f>((C177+D177+E177)/3)*(1+Parâmetros!C11)</f>
        <v>0</v>
      </c>
      <c r="G177" s="182">
        <f>((D177+E177+F177)/3)*(1+Parâmetros!D11)</f>
        <v>0</v>
      </c>
      <c r="H177" s="182">
        <f>((E177+F177+G177)/3)*(1+Parâmetros!E11)</f>
        <v>0</v>
      </c>
      <c r="I177" s="182">
        <f>((F177+G177+H177)/3)*(1+Parâmetros!F11)</f>
        <v>0</v>
      </c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</row>
    <row r="178" spans="1:177" s="8" customFormat="1" ht="15">
      <c r="A178" s="194"/>
      <c r="B178" s="195" t="s">
        <v>329</v>
      </c>
      <c r="C178" s="72"/>
      <c r="D178" s="72"/>
      <c r="E178" s="72"/>
      <c r="F178" s="182">
        <f>((C178+D178+E178)/3)*(1+Parâmetros!C11)</f>
        <v>0</v>
      </c>
      <c r="G178" s="182">
        <f>((D178+E178+F178)/3)*(1+Parâmetros!D11)</f>
        <v>0</v>
      </c>
      <c r="H178" s="182">
        <f>((E178+F178+G178)/3)*(1+Parâmetros!E11)</f>
        <v>0</v>
      </c>
      <c r="I178" s="182">
        <f>((F178+G178+H178)/3)*(1+Parâmetros!F11)</f>
        <v>0</v>
      </c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</row>
    <row r="179" spans="1:177" s="8" customFormat="1" ht="15">
      <c r="A179" s="194"/>
      <c r="B179" s="195" t="s">
        <v>331</v>
      </c>
      <c r="C179" s="72"/>
      <c r="D179" s="72"/>
      <c r="E179" s="72"/>
      <c r="F179" s="182">
        <f>((C179+D179+E179)/3)*(1+Parâmetros!C11)</f>
        <v>0</v>
      </c>
      <c r="G179" s="182">
        <f>((D179+E179+F179)/3)*(1+Parâmetros!D11)</f>
        <v>0</v>
      </c>
      <c r="H179" s="182">
        <f>((E179+F179+G179)/3)*(1+Parâmetros!E11)</f>
        <v>0</v>
      </c>
      <c r="I179" s="182">
        <f>((F179+G179+H179)/3)*(1+Parâmetros!F11)</f>
        <v>0</v>
      </c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</row>
    <row r="180" spans="1:177" s="8" customFormat="1" ht="15">
      <c r="A180" s="194"/>
      <c r="B180" s="195" t="s">
        <v>332</v>
      </c>
      <c r="C180" s="72"/>
      <c r="D180" s="72"/>
      <c r="E180" s="72"/>
      <c r="F180" s="182">
        <f>((C180+D180+E180)/3)*(1+Parâmetros!C11)</f>
        <v>0</v>
      </c>
      <c r="G180" s="182">
        <f>((D180+E180+F180)/3)*(1+Parâmetros!D11)</f>
        <v>0</v>
      </c>
      <c r="H180" s="182">
        <f>((E180+F180+G180)/3)*(1+Parâmetros!E11)</f>
        <v>0</v>
      </c>
      <c r="I180" s="182">
        <f>((F180+G180+H180)/3)*(1+Parâmetros!F11)</f>
        <v>0</v>
      </c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</row>
    <row r="181" spans="1:177" s="8" customFormat="1" ht="15">
      <c r="A181" s="194"/>
      <c r="B181" s="195" t="s">
        <v>333</v>
      </c>
      <c r="C181" s="72">
        <v>203608.57</v>
      </c>
      <c r="D181" s="72">
        <v>264244.19</v>
      </c>
      <c r="E181" s="72">
        <v>220000</v>
      </c>
      <c r="F181" s="182">
        <f>((C181+D181+E181)/3)*(1+Parâmetros!C11)</f>
        <v>237515.558028</v>
      </c>
      <c r="G181" s="182">
        <f>((D181+E181+F181)/3)*(1+Parâmetros!D11)</f>
        <v>248598.11587911082</v>
      </c>
      <c r="H181" s="182">
        <f>((E181+F181+G181)/3)*(1+Parâmetros!E11)</f>
        <v>242973.71519143684</v>
      </c>
      <c r="I181" s="182">
        <f>((F181+G181+H181)/3)*(1+Parâmetros!F11)</f>
        <v>250830.36476287033</v>
      </c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</row>
    <row r="182" spans="1:177" s="8" customFormat="1" ht="15.75">
      <c r="A182" s="192" t="s">
        <v>334</v>
      </c>
      <c r="B182" s="193" t="s">
        <v>335</v>
      </c>
      <c r="C182" s="199">
        <f aca="true" t="shared" si="34" ref="C182:I182">SUM(C183:C188)</f>
        <v>13200</v>
      </c>
      <c r="D182" s="199">
        <f t="shared" si="34"/>
        <v>27826.16</v>
      </c>
      <c r="E182" s="199">
        <f t="shared" si="34"/>
        <v>1200</v>
      </c>
      <c r="F182" s="199">
        <f t="shared" si="34"/>
        <v>14580.693048000001</v>
      </c>
      <c r="G182" s="199">
        <f t="shared" si="34"/>
        <v>15019.653751499469</v>
      </c>
      <c r="H182" s="199">
        <f t="shared" si="34"/>
        <v>10598.399333707768</v>
      </c>
      <c r="I182" s="199">
        <f t="shared" si="34"/>
        <v>13829.708628027729</v>
      </c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</row>
    <row r="183" spans="1:177" s="8" customFormat="1" ht="15">
      <c r="A183" s="194"/>
      <c r="B183" s="195" t="s">
        <v>336</v>
      </c>
      <c r="C183" s="72"/>
      <c r="D183" s="72"/>
      <c r="E183" s="72"/>
      <c r="F183" s="182">
        <f>((C183+D183+E183)/3)*(1+Parâmetros!C11)</f>
        <v>0</v>
      </c>
      <c r="G183" s="182">
        <f>((D183+E183+F183)/3)*(1+Parâmetros!D11)</f>
        <v>0</v>
      </c>
      <c r="H183" s="182">
        <f>((E183+F183+G183)/3)*(1+Parâmetros!E11)</f>
        <v>0</v>
      </c>
      <c r="I183" s="182">
        <f>((F183+G183+H183)/3)*(1+Parâmetros!F11)</f>
        <v>0</v>
      </c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</row>
    <row r="184" spans="1:177" s="8" customFormat="1" ht="15">
      <c r="A184" s="194"/>
      <c r="B184" s="195" t="s">
        <v>337</v>
      </c>
      <c r="C184" s="72">
        <v>13200</v>
      </c>
      <c r="D184" s="72">
        <v>13200</v>
      </c>
      <c r="E184" s="72">
        <v>1000</v>
      </c>
      <c r="F184" s="182">
        <f>((C184+D184+E184)/3)*(1+Parâmetros!C11)</f>
        <v>9461.220000000001</v>
      </c>
      <c r="G184" s="182">
        <f>((D184+E184+F184)/3)*(1+Parâmetros!D11)</f>
        <v>8149.7128753333345</v>
      </c>
      <c r="H184" s="182">
        <f>((E184+F184+G184)/3)*(1+Parâmetros!E11)</f>
        <v>6404.022002402201</v>
      </c>
      <c r="I184" s="182">
        <f>((F184+G184+H184)/3)*(1+Parâmetros!F11)</f>
        <v>8261.94497643695</v>
      </c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</row>
    <row r="185" spans="1:177" s="8" customFormat="1" ht="15">
      <c r="A185" s="194"/>
      <c r="B185" s="195" t="s">
        <v>338</v>
      </c>
      <c r="C185" s="72"/>
      <c r="D185" s="72"/>
      <c r="E185" s="72"/>
      <c r="F185" s="182">
        <f>((C185+D185+E185)/3)*(1+Parâmetros!C11)</f>
        <v>0</v>
      </c>
      <c r="G185" s="182">
        <f>((D185+E185+F185)/3)*(1+Parâmetros!D11)</f>
        <v>0</v>
      </c>
      <c r="H185" s="182">
        <f>((E185+F185+G185)/3)*(1+Parâmetros!E11)</f>
        <v>0</v>
      </c>
      <c r="I185" s="182">
        <f>((F185+G185+H185)/3)*(1+Parâmetros!F11)</f>
        <v>0</v>
      </c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</row>
    <row r="186" spans="1:177" s="8" customFormat="1" ht="15">
      <c r="A186" s="194"/>
      <c r="B186" s="195" t="s">
        <v>339</v>
      </c>
      <c r="C186" s="72"/>
      <c r="D186" s="72"/>
      <c r="E186" s="72"/>
      <c r="F186" s="182">
        <f>((C186+D186+E186)/3)*(1+Parâmetros!C11)</f>
        <v>0</v>
      </c>
      <c r="G186" s="182">
        <f>((D186+E186+F186)/3)*(1+Parâmetros!D11)</f>
        <v>0</v>
      </c>
      <c r="H186" s="182">
        <f>((E186+F186+G186)/3)*(1+Parâmetros!E11)</f>
        <v>0</v>
      </c>
      <c r="I186" s="182">
        <f>((F186+G186+H186)/3)*(1+Parâmetros!F11)</f>
        <v>0</v>
      </c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</row>
    <row r="187" spans="1:177" s="8" customFormat="1" ht="15">
      <c r="A187" s="194"/>
      <c r="B187" s="195" t="s">
        <v>340</v>
      </c>
      <c r="C187" s="72"/>
      <c r="D187" s="72"/>
      <c r="E187" s="72"/>
      <c r="F187" s="182">
        <f>((C187+D187+E187)/3)*(1+Parâmetros!C11)</f>
        <v>0</v>
      </c>
      <c r="G187" s="182">
        <f>((D187+E187+F187)/3)*(1+Parâmetros!D11)</f>
        <v>0</v>
      </c>
      <c r="H187" s="182">
        <f>((E187+F187+G187)/3)*(1+Parâmetros!E11)</f>
        <v>0</v>
      </c>
      <c r="I187" s="182">
        <f>((F187+G187+H187)/3)*(1+Parâmetros!F11)</f>
        <v>0</v>
      </c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</row>
    <row r="188" spans="1:177" s="8" customFormat="1" ht="15">
      <c r="A188" s="194"/>
      <c r="B188" s="195" t="s">
        <v>341</v>
      </c>
      <c r="C188" s="72"/>
      <c r="D188" s="72">
        <v>14626.16</v>
      </c>
      <c r="E188" s="72">
        <v>200</v>
      </c>
      <c r="F188" s="182">
        <f>((C188+D188+E188)/3)*(1+Parâmetros!C11)</f>
        <v>5119.473048</v>
      </c>
      <c r="G188" s="182">
        <f>((D188+E188+F188)/3)*(1+Parâmetros!D11)</f>
        <v>6869.940876166134</v>
      </c>
      <c r="H188" s="182">
        <f>((E188+F188+G188)/3)*(1+Parâmetros!E11)</f>
        <v>4194.377331305567</v>
      </c>
      <c r="I188" s="182">
        <f>((F188+G188+H188)/3)*(1+Parâmetros!F11)</f>
        <v>5567.763651590781</v>
      </c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</row>
    <row r="189" spans="1:177" s="8" customFormat="1" ht="15.75">
      <c r="A189" s="192" t="s">
        <v>342</v>
      </c>
      <c r="B189" s="193" t="s">
        <v>335</v>
      </c>
      <c r="C189" s="199">
        <f aca="true" t="shared" si="35" ref="C189:I189">SUM(C190:C195)</f>
        <v>0</v>
      </c>
      <c r="D189" s="199">
        <f t="shared" si="35"/>
        <v>0</v>
      </c>
      <c r="E189" s="199">
        <f t="shared" si="35"/>
        <v>0</v>
      </c>
      <c r="F189" s="199">
        <f t="shared" si="35"/>
        <v>0</v>
      </c>
      <c r="G189" s="199">
        <f t="shared" si="35"/>
        <v>0</v>
      </c>
      <c r="H189" s="199">
        <f t="shared" si="35"/>
        <v>0</v>
      </c>
      <c r="I189" s="199">
        <f t="shared" si="35"/>
        <v>0</v>
      </c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</row>
    <row r="190" spans="1:177" s="8" customFormat="1" ht="15">
      <c r="A190" s="194"/>
      <c r="B190" s="195" t="s">
        <v>336</v>
      </c>
      <c r="C190" s="72"/>
      <c r="D190" s="72"/>
      <c r="E190" s="72"/>
      <c r="F190" s="182">
        <f>((C190+D190+E190)/3)*(1+Parâmetros!C11)</f>
        <v>0</v>
      </c>
      <c r="G190" s="182">
        <f>((D190+E190+F190)/3)*(1+Parâmetros!D11)</f>
        <v>0</v>
      </c>
      <c r="H190" s="182">
        <f>((E190+F190+G190)/3)*(1+Parâmetros!E11)</f>
        <v>0</v>
      </c>
      <c r="I190" s="182">
        <f>((F190+G190+H190)/3)*(1+Parâmetros!F11)</f>
        <v>0</v>
      </c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</row>
    <row r="191" spans="1:177" s="8" customFormat="1" ht="15">
      <c r="A191" s="194"/>
      <c r="B191" s="195" t="s">
        <v>337</v>
      </c>
      <c r="C191" s="72"/>
      <c r="D191" s="72"/>
      <c r="E191" s="72"/>
      <c r="F191" s="182">
        <f>((C191+D191+E191)/3)*(1+Parâmetros!C11)</f>
        <v>0</v>
      </c>
      <c r="G191" s="182">
        <f>((D191+E191+F191)/3)*(1+Parâmetros!D11)</f>
        <v>0</v>
      </c>
      <c r="H191" s="182">
        <f>((E191+F191+G191)/3)*(1+Parâmetros!E11)</f>
        <v>0</v>
      </c>
      <c r="I191" s="182">
        <f>((F191+G191+H191)/3)*(1+Parâmetros!F11)</f>
        <v>0</v>
      </c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</row>
    <row r="192" spans="1:177" s="8" customFormat="1" ht="15">
      <c r="A192" s="194"/>
      <c r="B192" s="195" t="s">
        <v>338</v>
      </c>
      <c r="C192" s="72"/>
      <c r="D192" s="72"/>
      <c r="E192" s="72"/>
      <c r="F192" s="182">
        <f>((C192+D192+E192)/3)*(1+Parâmetros!C11)</f>
        <v>0</v>
      </c>
      <c r="G192" s="182">
        <f>((D192+E192+F192)/3)*(1+Parâmetros!D11)</f>
        <v>0</v>
      </c>
      <c r="H192" s="182">
        <f>((E192+F192+G192)/3)*(1+Parâmetros!E11)</f>
        <v>0</v>
      </c>
      <c r="I192" s="182">
        <f>((F192+G192+H192)/3)*(1+Parâmetros!F11)</f>
        <v>0</v>
      </c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</row>
    <row r="193" spans="1:177" s="8" customFormat="1" ht="15">
      <c r="A193" s="194"/>
      <c r="B193" s="195" t="s">
        <v>339</v>
      </c>
      <c r="C193" s="72"/>
      <c r="D193" s="72"/>
      <c r="E193" s="72"/>
      <c r="F193" s="182">
        <f>((C193+D193+E193)/3)*(1+Parâmetros!C11)</f>
        <v>0</v>
      </c>
      <c r="G193" s="182">
        <f>((D193+E193+F193)/3)*(1+Parâmetros!D11)</f>
        <v>0</v>
      </c>
      <c r="H193" s="182">
        <f>((E193+F193+G193)/3)*(1+Parâmetros!E11)</f>
        <v>0</v>
      </c>
      <c r="I193" s="182">
        <f>((F193+G193+H193)/3)*(1+Parâmetros!F11)</f>
        <v>0</v>
      </c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</row>
    <row r="194" spans="1:177" s="8" customFormat="1" ht="15">
      <c r="A194" s="194"/>
      <c r="B194" s="195" t="s">
        <v>340</v>
      </c>
      <c r="C194" s="72"/>
      <c r="D194" s="72"/>
      <c r="E194" s="72"/>
      <c r="F194" s="182">
        <f>((C194+D194+E194)/3)*(1+Parâmetros!C11)</f>
        <v>0</v>
      </c>
      <c r="G194" s="182">
        <f>((D194+E194+F194)/3)*(1+Parâmetros!D11)</f>
        <v>0</v>
      </c>
      <c r="H194" s="182">
        <f>((E194+F194+G194)/3)*(1+Parâmetros!E11)</f>
        <v>0</v>
      </c>
      <c r="I194" s="182">
        <f>((F194+G194+H194)/3)*(1+Parâmetros!F11)</f>
        <v>0</v>
      </c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</row>
    <row r="195" spans="1:177" s="8" customFormat="1" ht="15">
      <c r="A195" s="194"/>
      <c r="B195" s="195" t="s">
        <v>341</v>
      </c>
      <c r="C195" s="72"/>
      <c r="D195" s="72"/>
      <c r="E195" s="72"/>
      <c r="F195" s="182">
        <f>((C195+D195+E195)/3)*(1+Parâmetros!C11)</f>
        <v>0</v>
      </c>
      <c r="G195" s="182">
        <f>((D195+E195+F195)/3)*(1+Parâmetros!D11)</f>
        <v>0</v>
      </c>
      <c r="H195" s="182">
        <f>((E195+F195+G195)/3)*(1+Parâmetros!E11)</f>
        <v>0</v>
      </c>
      <c r="I195" s="182">
        <f>((F195+G195+H195)/3)*(1+Parâmetros!F11)</f>
        <v>0</v>
      </c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</row>
    <row r="196" spans="1:177" s="8" customFormat="1" ht="15.75">
      <c r="A196" s="192" t="s">
        <v>27</v>
      </c>
      <c r="B196" s="193" t="s">
        <v>343</v>
      </c>
      <c r="C196" s="199">
        <f aca="true" t="shared" si="36" ref="C196:I196">SUM(C197:C202)</f>
        <v>23386.04</v>
      </c>
      <c r="D196" s="199">
        <f t="shared" si="36"/>
        <v>19970.67</v>
      </c>
      <c r="E196" s="199">
        <f t="shared" si="36"/>
        <v>26400</v>
      </c>
      <c r="F196" s="199">
        <f t="shared" si="36"/>
        <v>23252.236666666664</v>
      </c>
      <c r="G196" s="199">
        <f t="shared" si="36"/>
        <v>23207.635555555553</v>
      </c>
      <c r="H196" s="199">
        <f t="shared" si="36"/>
        <v>24286.624074074072</v>
      </c>
      <c r="I196" s="199">
        <f t="shared" si="36"/>
        <v>23582.16543209876</v>
      </c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</row>
    <row r="197" spans="1:177" s="8" customFormat="1" ht="15">
      <c r="A197" s="194"/>
      <c r="B197" s="195" t="s">
        <v>344</v>
      </c>
      <c r="C197" s="72"/>
      <c r="D197" s="72"/>
      <c r="E197" s="72"/>
      <c r="F197" s="182">
        <f aca="true" t="shared" si="37" ref="F197:I202">((C197+D197+E197)/3)</f>
        <v>0</v>
      </c>
      <c r="G197" s="182">
        <f t="shared" si="37"/>
        <v>0</v>
      </c>
      <c r="H197" s="182">
        <f t="shared" si="37"/>
        <v>0</v>
      </c>
      <c r="I197" s="182">
        <f t="shared" si="37"/>
        <v>0</v>
      </c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</row>
    <row r="198" spans="1:177" s="8" customFormat="1" ht="15">
      <c r="A198" s="194"/>
      <c r="B198" s="195" t="s">
        <v>345</v>
      </c>
      <c r="C198" s="72"/>
      <c r="D198" s="72"/>
      <c r="E198" s="72"/>
      <c r="F198" s="182">
        <f t="shared" si="37"/>
        <v>0</v>
      </c>
      <c r="G198" s="182">
        <f t="shared" si="37"/>
        <v>0</v>
      </c>
      <c r="H198" s="182">
        <f t="shared" si="37"/>
        <v>0</v>
      </c>
      <c r="I198" s="182">
        <f t="shared" si="37"/>
        <v>0</v>
      </c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</row>
    <row r="199" spans="1:177" s="8" customFormat="1" ht="15">
      <c r="A199" s="194"/>
      <c r="B199" s="195" t="s">
        <v>346</v>
      </c>
      <c r="C199" s="72"/>
      <c r="D199" s="72"/>
      <c r="E199" s="72"/>
      <c r="F199" s="182">
        <f t="shared" si="37"/>
        <v>0</v>
      </c>
      <c r="G199" s="182">
        <f t="shared" si="37"/>
        <v>0</v>
      </c>
      <c r="H199" s="182">
        <f t="shared" si="37"/>
        <v>0</v>
      </c>
      <c r="I199" s="182">
        <f t="shared" si="37"/>
        <v>0</v>
      </c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</row>
    <row r="200" spans="1:177" s="8" customFormat="1" ht="15">
      <c r="A200" s="194"/>
      <c r="B200" s="195" t="s">
        <v>347</v>
      </c>
      <c r="C200" s="72"/>
      <c r="D200" s="72"/>
      <c r="E200" s="72"/>
      <c r="F200" s="182">
        <f t="shared" si="37"/>
        <v>0</v>
      </c>
      <c r="G200" s="182">
        <f t="shared" si="37"/>
        <v>0</v>
      </c>
      <c r="H200" s="182">
        <f t="shared" si="37"/>
        <v>0</v>
      </c>
      <c r="I200" s="182">
        <f t="shared" si="37"/>
        <v>0</v>
      </c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</row>
    <row r="201" spans="1:177" s="8" customFormat="1" ht="15">
      <c r="A201" s="194"/>
      <c r="B201" s="195" t="s">
        <v>348</v>
      </c>
      <c r="C201" s="72"/>
      <c r="D201" s="72"/>
      <c r="E201" s="72"/>
      <c r="F201" s="182">
        <f t="shared" si="37"/>
        <v>0</v>
      </c>
      <c r="G201" s="182">
        <f t="shared" si="37"/>
        <v>0</v>
      </c>
      <c r="H201" s="182">
        <f t="shared" si="37"/>
        <v>0</v>
      </c>
      <c r="I201" s="182">
        <f t="shared" si="37"/>
        <v>0</v>
      </c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</row>
    <row r="202" spans="1:177" s="8" customFormat="1" ht="15">
      <c r="A202" s="194"/>
      <c r="B202" s="195" t="s">
        <v>349</v>
      </c>
      <c r="C202" s="72">
        <v>23386.04</v>
      </c>
      <c r="D202" s="72">
        <v>19970.67</v>
      </c>
      <c r="E202" s="72">
        <v>26400</v>
      </c>
      <c r="F202" s="182">
        <f t="shared" si="37"/>
        <v>23252.236666666664</v>
      </c>
      <c r="G202" s="182">
        <f t="shared" si="37"/>
        <v>23207.635555555553</v>
      </c>
      <c r="H202" s="182">
        <f t="shared" si="37"/>
        <v>24286.624074074072</v>
      </c>
      <c r="I202" s="182">
        <f t="shared" si="37"/>
        <v>23582.16543209876</v>
      </c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</row>
    <row r="203" spans="1:177" s="9" customFormat="1" ht="29.25" customHeight="1" thickBot="1">
      <c r="A203" s="197"/>
      <c r="B203" s="198" t="s">
        <v>350</v>
      </c>
      <c r="C203" s="200">
        <f aca="true" t="shared" si="38" ref="C203:I203">C140+C147+C154+C161+C168+C175+C182+C189+C196</f>
        <v>10118358.699999997</v>
      </c>
      <c r="D203" s="200">
        <f t="shared" si="38"/>
        <v>12008725.799999999</v>
      </c>
      <c r="E203" s="200">
        <f t="shared" si="38"/>
        <v>12138969.940000001</v>
      </c>
      <c r="F203" s="200">
        <f t="shared" si="38"/>
        <v>12389700.757135067</v>
      </c>
      <c r="G203" s="200">
        <f t="shared" si="38"/>
        <v>13179143.69288079</v>
      </c>
      <c r="H203" s="200">
        <f t="shared" si="38"/>
        <v>13588976.498057485</v>
      </c>
      <c r="I203" s="200">
        <f t="shared" si="38"/>
        <v>14109570.136175198</v>
      </c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</row>
    <row r="204" spans="1:177" s="1" customFormat="1" ht="17.25" customHeight="1" hidden="1">
      <c r="A204" s="17"/>
      <c r="B204" s="21" t="s">
        <v>26</v>
      </c>
      <c r="C204" s="42"/>
      <c r="D204" s="43"/>
      <c r="E204" s="43"/>
      <c r="F204" s="43"/>
      <c r="G204" s="43"/>
      <c r="H204" s="43"/>
      <c r="I204" s="43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</row>
    <row r="205" spans="1:177" s="1" customFormat="1" ht="17.25" customHeight="1" hidden="1">
      <c r="A205" s="18"/>
      <c r="B205" s="19" t="s">
        <v>2</v>
      </c>
      <c r="C205" s="20" t="s">
        <v>4</v>
      </c>
      <c r="D205" s="20" t="e">
        <f>IF(#REF!&gt;0,"REALIZADO","PROJETADO")</f>
        <v>#REF!</v>
      </c>
      <c r="E205" s="20" t="e">
        <f>IF(#REF!&gt;0,"REALIZADO","PROJETADO")</f>
        <v>#REF!</v>
      </c>
      <c r="F205" s="20" t="e">
        <f>IF(#REF!&gt;0,"REALIZADO","PROJETADO")</f>
        <v>#REF!</v>
      </c>
      <c r="G205" s="20" t="s">
        <v>5</v>
      </c>
      <c r="H205" s="20"/>
      <c r="I205" s="20" t="s">
        <v>5</v>
      </c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</row>
    <row r="206" spans="1:177" s="1" customFormat="1" ht="17.25" customHeight="1" hidden="1">
      <c r="A206" s="18"/>
      <c r="B206" s="44" t="s">
        <v>1</v>
      </c>
      <c r="C206" s="45">
        <v>1999</v>
      </c>
      <c r="D206" s="45">
        <v>2000</v>
      </c>
      <c r="E206" s="45">
        <v>2001</v>
      </c>
      <c r="F206" s="45">
        <v>2002</v>
      </c>
      <c r="G206" s="45">
        <v>2003</v>
      </c>
      <c r="H206" s="45"/>
      <c r="I206" s="45">
        <v>2004</v>
      </c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</row>
    <row r="207" spans="1:177" s="1" customFormat="1" ht="17.25" customHeight="1" hidden="1">
      <c r="A207" s="18"/>
      <c r="B207" s="21"/>
      <c r="C207" s="22"/>
      <c r="D207" s="22"/>
      <c r="E207" s="22"/>
      <c r="F207" s="22"/>
      <c r="G207" s="22"/>
      <c r="H207" s="22"/>
      <c r="I207" s="22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</row>
    <row r="208" spans="1:177" s="1" customFormat="1" ht="16.5" hidden="1" thickBot="1">
      <c r="A208" s="18"/>
      <c r="B208" s="21" t="s">
        <v>6</v>
      </c>
      <c r="C208" s="23" t="e">
        <f>C8-#REF!-C14+C212-#REF!</f>
        <v>#REF!</v>
      </c>
      <c r="D208" s="23" t="e">
        <f>D8-#REF!-D14+D212-#REF!</f>
        <v>#REF!</v>
      </c>
      <c r="E208" s="23" t="e">
        <f>E8-#REF!-E14+E212-#REF!</f>
        <v>#REF!</v>
      </c>
      <c r="F208" s="23" t="e">
        <f>F8-#REF!-F14+F212-#REF!</f>
        <v>#REF!</v>
      </c>
      <c r="G208" s="23" t="e">
        <f>G8-#REF!-G14+G212-#REF!</f>
        <v>#REF!</v>
      </c>
      <c r="H208" s="23"/>
      <c r="I208" s="23" t="e">
        <f>I8-#REF!-I14+I212-#REF!</f>
        <v>#REF!</v>
      </c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</row>
    <row r="209" spans="1:177" s="1" customFormat="1" ht="16.5" hidden="1" thickBot="1">
      <c r="A209" s="18"/>
      <c r="B209" s="21" t="s">
        <v>7</v>
      </c>
      <c r="C209" s="23">
        <f>C9</f>
        <v>1082614.96</v>
      </c>
      <c r="D209" s="23">
        <f>D9</f>
        <v>1180935.71</v>
      </c>
      <c r="E209" s="23">
        <f>E9</f>
        <v>3285397.21</v>
      </c>
      <c r="F209" s="23">
        <f>F9</f>
        <v>2011854.2881122003</v>
      </c>
      <c r="G209" s="23">
        <f>G9</f>
        <v>2342868.7947498187</v>
      </c>
      <c r="H209" s="23"/>
      <c r="I209" s="23">
        <f>I9</f>
        <v>2570236.422179245</v>
      </c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</row>
    <row r="210" spans="1:177" s="1" customFormat="1" ht="16.5" hidden="1" thickBot="1">
      <c r="A210" s="18"/>
      <c r="B210" s="21" t="s">
        <v>8</v>
      </c>
      <c r="C210" s="23" t="e">
        <f>C19+C20+C21+#REF!+#REF!+#REF!+#REF!</f>
        <v>#REF!</v>
      </c>
      <c r="D210" s="23" t="e">
        <f>D19+D20+D21+#REF!+#REF!+#REF!+#REF!</f>
        <v>#REF!</v>
      </c>
      <c r="E210" s="23" t="e">
        <f>E19+E20+E21+#REF!+#REF!+#REF!+#REF!</f>
        <v>#REF!</v>
      </c>
      <c r="F210" s="23" t="e">
        <f>F19+F20+F21+#REF!+#REF!+#REF!+#REF!</f>
        <v>#REF!</v>
      </c>
      <c r="G210" s="23" t="e">
        <f>G19+G20+G21+#REF!+#REF!+#REF!+#REF!</f>
        <v>#REF!</v>
      </c>
      <c r="H210" s="23"/>
      <c r="I210" s="23" t="e">
        <f>I19+I20+I21+#REF!+#REF!+#REF!+#REF!</f>
        <v>#REF!</v>
      </c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</row>
    <row r="211" spans="1:177" s="1" customFormat="1" ht="16.5" hidden="1" thickBot="1">
      <c r="A211" s="18"/>
      <c r="B211" s="21" t="s">
        <v>9</v>
      </c>
      <c r="C211" s="23" t="e">
        <f>#REF!</f>
        <v>#REF!</v>
      </c>
      <c r="D211" s="23" t="e">
        <f>#REF!</f>
        <v>#REF!</v>
      </c>
      <c r="E211" s="23" t="e">
        <f>#REF!</f>
        <v>#REF!</v>
      </c>
      <c r="F211" s="23" t="e">
        <f>#REF!</f>
        <v>#REF!</v>
      </c>
      <c r="G211" s="23" t="e">
        <f>#REF!</f>
        <v>#REF!</v>
      </c>
      <c r="H211" s="23"/>
      <c r="I211" s="23" t="e">
        <f>#REF!</f>
        <v>#REF!</v>
      </c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</row>
    <row r="212" spans="1:177" s="1" customFormat="1" ht="16.5" hidden="1" thickBot="1">
      <c r="A212" s="18"/>
      <c r="B212" s="21" t="s">
        <v>10</v>
      </c>
      <c r="C212" s="23" t="e">
        <f>#REF!-#REF!</f>
        <v>#REF!</v>
      </c>
      <c r="D212" s="23" t="e">
        <f>#REF!-#REF!</f>
        <v>#REF!</v>
      </c>
      <c r="E212" s="23" t="e">
        <f>#REF!-#REF!</f>
        <v>#REF!</v>
      </c>
      <c r="F212" s="23" t="e">
        <f>#REF!-#REF!</f>
        <v>#REF!</v>
      </c>
      <c r="G212" s="23" t="e">
        <f>#REF!-#REF!</f>
        <v>#REF!</v>
      </c>
      <c r="H212" s="23"/>
      <c r="I212" s="23" t="e">
        <f>#REF!-#REF!</f>
        <v>#REF!</v>
      </c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</row>
    <row r="213" spans="1:177" s="1" customFormat="1" ht="16.5" hidden="1" thickBot="1">
      <c r="A213" s="18"/>
      <c r="B213" s="21" t="s">
        <v>11</v>
      </c>
      <c r="C213" s="23" t="e">
        <f>#REF!</f>
        <v>#REF!</v>
      </c>
      <c r="D213" s="23" t="e">
        <f>#REF!</f>
        <v>#REF!</v>
      </c>
      <c r="E213" s="23" t="e">
        <f>#REF!</f>
        <v>#REF!</v>
      </c>
      <c r="F213" s="23" t="e">
        <f>#REF!</f>
        <v>#REF!</v>
      </c>
      <c r="G213" s="23" t="e">
        <f>#REF!</f>
        <v>#REF!</v>
      </c>
      <c r="H213" s="23"/>
      <c r="I213" s="23" t="e">
        <f>#REF!</f>
        <v>#REF!</v>
      </c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</row>
    <row r="214" spans="1:177" s="1" customFormat="1" ht="16.5" hidden="1" thickBot="1">
      <c r="A214" s="18"/>
      <c r="B214" s="21" t="s">
        <v>12</v>
      </c>
      <c r="C214" s="23" t="e">
        <f>#REF!</f>
        <v>#REF!</v>
      </c>
      <c r="D214" s="23" t="e">
        <f>#REF!</f>
        <v>#REF!</v>
      </c>
      <c r="E214" s="23" t="e">
        <f>#REF!</f>
        <v>#REF!</v>
      </c>
      <c r="F214" s="23" t="e">
        <f>#REF!</f>
        <v>#REF!</v>
      </c>
      <c r="G214" s="23" t="e">
        <f>#REF!</f>
        <v>#REF!</v>
      </c>
      <c r="H214" s="23"/>
      <c r="I214" s="23" t="e">
        <f>#REF!</f>
        <v>#REF!</v>
      </c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</row>
    <row r="215" spans="1:177" s="1" customFormat="1" ht="16.5" hidden="1" thickBot="1">
      <c r="A215" s="18"/>
      <c r="B215" s="21" t="s">
        <v>13</v>
      </c>
      <c r="C215" s="23" t="e">
        <f>#REF!</f>
        <v>#REF!</v>
      </c>
      <c r="D215" s="23" t="e">
        <f>#REF!</f>
        <v>#REF!</v>
      </c>
      <c r="E215" s="23" t="e">
        <f>#REF!</f>
        <v>#REF!</v>
      </c>
      <c r="F215" s="23" t="e">
        <f>#REF!</f>
        <v>#REF!</v>
      </c>
      <c r="G215" s="23" t="e">
        <f>#REF!</f>
        <v>#REF!</v>
      </c>
      <c r="H215" s="23"/>
      <c r="I215" s="23" t="e">
        <f>#REF!</f>
        <v>#REF!</v>
      </c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</row>
    <row r="216" spans="1:177" s="1" customFormat="1" ht="16.5" hidden="1" thickBot="1">
      <c r="A216" s="18"/>
      <c r="B216" s="21" t="s">
        <v>14</v>
      </c>
      <c r="C216" s="23" t="e">
        <f>#REF!</f>
        <v>#REF!</v>
      </c>
      <c r="D216" s="23" t="e">
        <f>#REF!</f>
        <v>#REF!</v>
      </c>
      <c r="E216" s="23" t="e">
        <f>#REF!</f>
        <v>#REF!</v>
      </c>
      <c r="F216" s="23" t="e">
        <f>#REF!</f>
        <v>#REF!</v>
      </c>
      <c r="G216" s="23" t="e">
        <f>#REF!</f>
        <v>#REF!</v>
      </c>
      <c r="H216" s="23"/>
      <c r="I216" s="23" t="e">
        <f>#REF!</f>
        <v>#REF!</v>
      </c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</row>
    <row r="217" spans="1:177" s="1" customFormat="1" ht="16.5" hidden="1" thickBot="1">
      <c r="A217" s="18"/>
      <c r="B217" s="21" t="s">
        <v>15</v>
      </c>
      <c r="C217" s="23" t="e">
        <f>#REF!+#REF!+#REF!+#REF!+C169+#REF!+#REF!+C203+C147+#REF!</f>
        <v>#REF!</v>
      </c>
      <c r="D217" s="23" t="e">
        <f>#REF!+#REF!+#REF!+#REF!+D169+#REF!+#REF!+D203+D147+#REF!</f>
        <v>#REF!</v>
      </c>
      <c r="E217" s="23" t="e">
        <f>#REF!+#REF!+#REF!+#REF!+E169+#REF!+#REF!+E203+E147+#REF!</f>
        <v>#REF!</v>
      </c>
      <c r="F217" s="23" t="e">
        <f>#REF!+#REF!+#REF!+#REF!+F169+#REF!+#REF!+F203+F147+#REF!</f>
        <v>#REF!</v>
      </c>
      <c r="G217" s="23" t="e">
        <f>#REF!+#REF!+#REF!+#REF!+G169+#REF!+#REF!+G203+G147+#REF!</f>
        <v>#REF!</v>
      </c>
      <c r="H217" s="23"/>
      <c r="I217" s="23" t="e">
        <f>#REF!+#REF!+#REF!+#REF!+I169+#REF!+#REF!+I203+I147+#REF!</f>
        <v>#REF!</v>
      </c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</row>
    <row r="218" spans="1:177" s="1" customFormat="1" ht="16.5" hidden="1" thickBot="1">
      <c r="A218" s="18"/>
      <c r="B218" s="21" t="s">
        <v>16</v>
      </c>
      <c r="C218" s="23" t="e">
        <f>#REF!+#REF!</f>
        <v>#REF!</v>
      </c>
      <c r="D218" s="23" t="e">
        <f>#REF!+#REF!</f>
        <v>#REF!</v>
      </c>
      <c r="E218" s="23" t="e">
        <f>#REF!+#REF!</f>
        <v>#REF!</v>
      </c>
      <c r="F218" s="23" t="e">
        <f>#REF!+#REF!</f>
        <v>#REF!</v>
      </c>
      <c r="G218" s="23" t="e">
        <f>#REF!+#REF!</f>
        <v>#REF!</v>
      </c>
      <c r="H218" s="23"/>
      <c r="I218" s="23" t="e">
        <f>#REF!+#REF!</f>
        <v>#REF!</v>
      </c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</row>
    <row r="219" spans="1:177" s="1" customFormat="1" ht="16.5" hidden="1" thickBot="1">
      <c r="A219" s="18"/>
      <c r="B219" s="21" t="s">
        <v>17</v>
      </c>
      <c r="C219" s="23" t="e">
        <f>#REF!+#REF!</f>
        <v>#REF!</v>
      </c>
      <c r="D219" s="23" t="e">
        <f>#REF!+#REF!</f>
        <v>#REF!</v>
      </c>
      <c r="E219" s="23" t="e">
        <f>#REF!+#REF!</f>
        <v>#REF!</v>
      </c>
      <c r="F219" s="23" t="e">
        <f>#REF!+#REF!</f>
        <v>#REF!</v>
      </c>
      <c r="G219" s="23" t="e">
        <f>#REF!+#REF!</f>
        <v>#REF!</v>
      </c>
      <c r="H219" s="23"/>
      <c r="I219" s="23" t="e">
        <f>#REF!+#REF!</f>
        <v>#REF!</v>
      </c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</row>
    <row r="220" spans="1:177" s="1" customFormat="1" ht="16.5" hidden="1" thickBot="1">
      <c r="A220" s="18"/>
      <c r="B220" s="21" t="s">
        <v>18</v>
      </c>
      <c r="C220" s="23" t="e">
        <f>#REF!</f>
        <v>#REF!</v>
      </c>
      <c r="D220" s="23" t="e">
        <f>#REF!</f>
        <v>#REF!</v>
      </c>
      <c r="E220" s="23" t="e">
        <f>#REF!</f>
        <v>#REF!</v>
      </c>
      <c r="F220" s="23" t="e">
        <f>#REF!</f>
        <v>#REF!</v>
      </c>
      <c r="G220" s="23" t="e">
        <f>#REF!</f>
        <v>#REF!</v>
      </c>
      <c r="H220" s="23"/>
      <c r="I220" s="23" t="e">
        <f>#REF!</f>
        <v>#REF!</v>
      </c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</row>
    <row r="221" spans="1:177" s="1" customFormat="1" ht="16.5" hidden="1" thickBot="1">
      <c r="A221" s="18"/>
      <c r="B221" s="21" t="s">
        <v>19</v>
      </c>
      <c r="C221" s="23" t="e">
        <f>C152+#REF!+#REF!+#REF!+#REF!+#REF!+#REF!</f>
        <v>#REF!</v>
      </c>
      <c r="D221" s="23" t="e">
        <f>D152+#REF!+#REF!+#REF!+#REF!+#REF!+#REF!</f>
        <v>#REF!</v>
      </c>
      <c r="E221" s="23" t="e">
        <f>E152+#REF!+#REF!+#REF!+#REF!+#REF!+#REF!</f>
        <v>#REF!</v>
      </c>
      <c r="F221" s="23" t="e">
        <f>F152+#REF!+#REF!+#REF!+#REF!+#REF!+#REF!</f>
        <v>#REF!</v>
      </c>
      <c r="G221" s="23" t="e">
        <f>G152+#REF!+#REF!+#REF!+#REF!+#REF!+#REF!</f>
        <v>#REF!</v>
      </c>
      <c r="H221" s="23"/>
      <c r="I221" s="23" t="e">
        <f>I152+#REF!+#REF!+#REF!+#REF!+#REF!+#REF!</f>
        <v>#REF!</v>
      </c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</row>
    <row r="222" spans="1:177" s="1" customFormat="1" ht="16.5" hidden="1" thickBot="1">
      <c r="A222" s="18"/>
      <c r="B222" s="21" t="s">
        <v>25</v>
      </c>
      <c r="C222" s="23" t="e">
        <f>#REF!</f>
        <v>#REF!</v>
      </c>
      <c r="D222" s="23" t="e">
        <f>#REF!</f>
        <v>#REF!</v>
      </c>
      <c r="E222" s="23" t="e">
        <f>#REF!</f>
        <v>#REF!</v>
      </c>
      <c r="F222" s="23" t="e">
        <f>#REF!</f>
        <v>#REF!</v>
      </c>
      <c r="G222" s="23" t="e">
        <f>#REF!</f>
        <v>#REF!</v>
      </c>
      <c r="H222" s="23"/>
      <c r="I222" s="23" t="e">
        <f>#REF!</f>
        <v>#REF!</v>
      </c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</row>
    <row r="223" spans="1:177" s="1" customFormat="1" ht="16.5" hidden="1" thickBot="1">
      <c r="A223" s="18"/>
      <c r="B223" s="21" t="s">
        <v>20</v>
      </c>
      <c r="C223" s="23" t="e">
        <f>#REF!+#REF!</f>
        <v>#REF!</v>
      </c>
      <c r="D223" s="23" t="e">
        <f>#REF!+#REF!</f>
        <v>#REF!</v>
      </c>
      <c r="E223" s="23" t="e">
        <f>#REF!+#REF!</f>
        <v>#REF!</v>
      </c>
      <c r="F223" s="23" t="e">
        <f>#REF!+#REF!</f>
        <v>#REF!</v>
      </c>
      <c r="G223" s="23" t="e">
        <f>#REF!+#REF!</f>
        <v>#REF!</v>
      </c>
      <c r="H223" s="23"/>
      <c r="I223" s="23" t="e">
        <f>#REF!+#REF!</f>
        <v>#REF!</v>
      </c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</row>
    <row r="224" spans="1:177" s="1" customFormat="1" ht="16.5" hidden="1" thickBot="1">
      <c r="A224" s="18"/>
      <c r="B224" s="21" t="s">
        <v>21</v>
      </c>
      <c r="C224" s="23" t="e">
        <f>#REF!+#REF!</f>
        <v>#REF!</v>
      </c>
      <c r="D224" s="23" t="e">
        <f>#REF!+#REF!</f>
        <v>#REF!</v>
      </c>
      <c r="E224" s="23" t="e">
        <f>#REF!+#REF!</f>
        <v>#REF!</v>
      </c>
      <c r="F224" s="23" t="e">
        <f>#REF!+#REF!</f>
        <v>#REF!</v>
      </c>
      <c r="G224" s="23" t="e">
        <f>#REF!+#REF!</f>
        <v>#REF!</v>
      </c>
      <c r="H224" s="23"/>
      <c r="I224" s="23" t="e">
        <f>#REF!+#REF!</f>
        <v>#REF!</v>
      </c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</row>
    <row r="225" spans="1:177" s="1" customFormat="1" ht="16.5" hidden="1" thickBot="1">
      <c r="A225" s="18"/>
      <c r="B225" s="21" t="s">
        <v>22</v>
      </c>
      <c r="C225" s="23" t="e">
        <f>C223+C224</f>
        <v>#REF!</v>
      </c>
      <c r="D225" s="23" t="e">
        <f aca="true" t="shared" si="39" ref="D225:I225">D223+D224</f>
        <v>#REF!</v>
      </c>
      <c r="E225" s="23" t="e">
        <f t="shared" si="39"/>
        <v>#REF!</v>
      </c>
      <c r="F225" s="23" t="e">
        <f t="shared" si="39"/>
        <v>#REF!</v>
      </c>
      <c r="G225" s="23" t="e">
        <f t="shared" si="39"/>
        <v>#REF!</v>
      </c>
      <c r="H225" s="23"/>
      <c r="I225" s="23" t="e">
        <f t="shared" si="39"/>
        <v>#REF!</v>
      </c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</row>
    <row r="226" spans="1:177" s="1" customFormat="1" ht="16.5" hidden="1" thickBot="1">
      <c r="A226" s="18"/>
      <c r="B226" s="21" t="s">
        <v>23</v>
      </c>
      <c r="C226" s="23" t="e">
        <f>((C8+#REF!)-(C210)-((#REF!+#REF!)-C225))</f>
        <v>#REF!</v>
      </c>
      <c r="D226" s="23" t="e">
        <f>((D8+#REF!)-(D210)-((#REF!+#REF!)-D225))</f>
        <v>#REF!</v>
      </c>
      <c r="E226" s="23" t="e">
        <f>((E8+#REF!)-(E210)-((#REF!+#REF!)-E225))</f>
        <v>#REF!</v>
      </c>
      <c r="F226" s="23" t="e">
        <f>((F8+#REF!)-(F210)-((#REF!+#REF!)-F225))</f>
        <v>#REF!</v>
      </c>
      <c r="G226" s="23" t="e">
        <f>((G8+#REF!)-(G210)-((#REF!+#REF!)-G225))</f>
        <v>#REF!</v>
      </c>
      <c r="H226" s="23"/>
      <c r="I226" s="23" t="e">
        <f>((I8+#REF!)-(I210)-((#REF!+#REF!)-I225))</f>
        <v>#REF!</v>
      </c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</row>
    <row r="227" spans="1:177" s="1" customFormat="1" ht="16.5" hidden="1" thickBot="1">
      <c r="A227" s="18"/>
      <c r="B227" s="24" t="s">
        <v>24</v>
      </c>
      <c r="C227" s="25" t="e">
        <f>-(C226-(C223-C19-C20-C21-#REF!))</f>
        <v>#REF!</v>
      </c>
      <c r="D227" s="25" t="e">
        <f>-(D226-(D223-D19-D20-D21-#REF!))</f>
        <v>#REF!</v>
      </c>
      <c r="E227" s="25" t="e">
        <f>-(E226-(E223-E19-E20-E21-#REF!))</f>
        <v>#REF!</v>
      </c>
      <c r="F227" s="25" t="e">
        <f>-(F226-(F223-F19-F20-F21-#REF!))</f>
        <v>#REF!</v>
      </c>
      <c r="G227" s="25" t="e">
        <f>-(G226-(G223-G19-G20-G21-#REF!))</f>
        <v>#REF!</v>
      </c>
      <c r="H227" s="25"/>
      <c r="I227" s="25" t="e">
        <f>-(I226-(I223-I19-I20-I21-#REF!))</f>
        <v>#REF!</v>
      </c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</row>
    <row r="228" spans="1:177" s="1" customFormat="1" ht="16.5" thickTop="1">
      <c r="A228" s="18"/>
      <c r="B228" s="26"/>
      <c r="C228" s="26"/>
      <c r="D228" s="26"/>
      <c r="E228" s="26"/>
      <c r="F228" s="26"/>
      <c r="G228" s="26"/>
      <c r="H228" s="26"/>
      <c r="I228" s="26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</row>
    <row r="229" spans="2:177" s="1" customFormat="1" ht="15.75">
      <c r="B229" s="5"/>
      <c r="C229" s="5"/>
      <c r="D229" s="5"/>
      <c r="E229" s="5"/>
      <c r="F229" s="5"/>
      <c r="G229" s="5"/>
      <c r="H229" s="5"/>
      <c r="I229" s="5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</row>
    <row r="230" spans="2:177" s="1" customFormat="1" ht="15.75">
      <c r="B230" s="5"/>
      <c r="C230" s="5"/>
      <c r="D230" s="5"/>
      <c r="E230" s="5"/>
      <c r="F230" s="5"/>
      <c r="G230" s="5"/>
      <c r="H230" s="5"/>
      <c r="I230" s="5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</row>
    <row r="231" spans="2:177" s="1" customFormat="1" ht="15.75">
      <c r="B231" s="5"/>
      <c r="C231" s="5"/>
      <c r="D231" s="5"/>
      <c r="E231" s="5"/>
      <c r="F231" s="5"/>
      <c r="G231" s="5"/>
      <c r="H231" s="5"/>
      <c r="I231" s="5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</row>
    <row r="232" spans="2:177" s="1" customFormat="1" ht="15.75">
      <c r="B232" s="5"/>
      <c r="C232" s="5"/>
      <c r="D232" s="5"/>
      <c r="E232" s="5"/>
      <c r="F232" s="5"/>
      <c r="G232" s="5"/>
      <c r="H232" s="5"/>
      <c r="I232" s="5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</row>
    <row r="233" spans="2:177" s="1" customFormat="1" ht="15.75">
      <c r="B233" s="2"/>
      <c r="C233" s="5"/>
      <c r="D233" s="5"/>
      <c r="E233" s="5"/>
      <c r="F233" s="5"/>
      <c r="G233" s="5"/>
      <c r="H233" s="5"/>
      <c r="I233" s="5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</row>
    <row r="234" spans="2:177" s="1" customFormat="1" ht="15.75">
      <c r="B234" s="5"/>
      <c r="C234" s="5"/>
      <c r="D234" s="5"/>
      <c r="E234" s="5"/>
      <c r="F234" s="5"/>
      <c r="G234" s="5"/>
      <c r="H234" s="5"/>
      <c r="I234" s="5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</row>
    <row r="235" spans="2:177" s="1" customFormat="1" ht="15.75">
      <c r="B235" s="5"/>
      <c r="C235" s="5"/>
      <c r="D235" s="5"/>
      <c r="E235" s="5"/>
      <c r="F235" s="5"/>
      <c r="G235" s="5"/>
      <c r="H235" s="5"/>
      <c r="I235" s="5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</row>
    <row r="236" spans="2:177" s="1" customFormat="1" ht="15.75">
      <c r="B236" s="5"/>
      <c r="C236" s="5"/>
      <c r="D236" s="5"/>
      <c r="E236" s="5"/>
      <c r="F236" s="5"/>
      <c r="G236" s="5"/>
      <c r="H236" s="5"/>
      <c r="I236" s="5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</row>
    <row r="237" spans="2:177" s="1" customFormat="1" ht="15.75">
      <c r="B237" s="5"/>
      <c r="C237" s="5"/>
      <c r="D237" s="5"/>
      <c r="E237" s="5"/>
      <c r="F237" s="5"/>
      <c r="G237" s="5"/>
      <c r="H237" s="5"/>
      <c r="I237" s="5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</row>
    <row r="238" spans="2:177" s="1" customFormat="1" ht="15.75">
      <c r="B238" s="5"/>
      <c r="C238" s="5"/>
      <c r="D238" s="5"/>
      <c r="E238" s="5"/>
      <c r="F238" s="5"/>
      <c r="G238" s="5"/>
      <c r="H238" s="5"/>
      <c r="I238" s="5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</row>
    <row r="239" spans="2:177" s="1" customFormat="1" ht="15.75">
      <c r="B239" s="5"/>
      <c r="C239" s="5"/>
      <c r="D239" s="5"/>
      <c r="E239" s="5"/>
      <c r="F239" s="5"/>
      <c r="G239" s="5"/>
      <c r="H239" s="5"/>
      <c r="I239" s="5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</row>
    <row r="240" spans="2:177" s="1" customFormat="1" ht="18.75" customHeight="1">
      <c r="B240" s="5"/>
      <c r="C240" s="5"/>
      <c r="D240" s="5"/>
      <c r="E240" s="5"/>
      <c r="F240" s="5"/>
      <c r="G240" s="5"/>
      <c r="H240" s="5"/>
      <c r="I240" s="5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</row>
    <row r="241" spans="2:177" s="2" customFormat="1" ht="15.75">
      <c r="B241" s="5"/>
      <c r="C241" s="5"/>
      <c r="D241" s="5"/>
      <c r="E241" s="5"/>
      <c r="F241" s="5"/>
      <c r="G241" s="5"/>
      <c r="H241" s="5"/>
      <c r="I241" s="5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</row>
    <row r="242" spans="2:177" s="1" customFormat="1" ht="15.75">
      <c r="B242" s="5"/>
      <c r="C242" s="5"/>
      <c r="D242" s="5"/>
      <c r="E242" s="5"/>
      <c r="F242" s="5"/>
      <c r="G242" s="5"/>
      <c r="H242" s="5"/>
      <c r="I242" s="5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</row>
    <row r="243" spans="2:177" s="1" customFormat="1" ht="15.75">
      <c r="B243" s="5"/>
      <c r="C243" s="5"/>
      <c r="D243" s="5"/>
      <c r="E243" s="5"/>
      <c r="F243" s="5"/>
      <c r="G243" s="5"/>
      <c r="H243" s="5"/>
      <c r="I243" s="5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</row>
    <row r="244" spans="2:177" s="1" customFormat="1" ht="15.75">
      <c r="B244" s="5"/>
      <c r="C244" s="5"/>
      <c r="D244" s="5"/>
      <c r="E244" s="5"/>
      <c r="F244" s="5"/>
      <c r="G244" s="5"/>
      <c r="H244" s="5"/>
      <c r="I244" s="5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</row>
    <row r="245" spans="2:177" s="1" customFormat="1" ht="15.75">
      <c r="B245" s="5"/>
      <c r="C245" s="5"/>
      <c r="D245" s="5"/>
      <c r="E245" s="5"/>
      <c r="F245" s="5"/>
      <c r="G245" s="5"/>
      <c r="H245" s="5"/>
      <c r="I245" s="5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</row>
    <row r="246" spans="2:177" s="1" customFormat="1" ht="15.75">
      <c r="B246" s="5"/>
      <c r="C246" s="5"/>
      <c r="D246" s="5"/>
      <c r="E246" s="5"/>
      <c r="F246" s="5"/>
      <c r="G246" s="5"/>
      <c r="H246" s="5"/>
      <c r="I246" s="5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</row>
    <row r="247" spans="2:177" s="3" customFormat="1" ht="15.75">
      <c r="B247" s="5"/>
      <c r="C247" s="6"/>
      <c r="D247" s="6"/>
      <c r="E247" s="6"/>
      <c r="F247" s="6"/>
      <c r="G247" s="6"/>
      <c r="H247" s="6"/>
      <c r="I247" s="6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3"/>
      <c r="FA247" s="53"/>
      <c r="FB247" s="53"/>
      <c r="FC247" s="53"/>
      <c r="FD247" s="53"/>
      <c r="FE247" s="53"/>
      <c r="FF247" s="53"/>
      <c r="FG247" s="53"/>
      <c r="FH247" s="53"/>
      <c r="FI247" s="53"/>
      <c r="FJ247" s="53"/>
      <c r="FK247" s="53"/>
      <c r="FL247" s="53"/>
      <c r="FM247" s="53"/>
      <c r="FN247" s="53"/>
      <c r="FO247" s="53"/>
      <c r="FP247" s="53"/>
      <c r="FQ247" s="53"/>
      <c r="FR247" s="53"/>
      <c r="FS247" s="53"/>
      <c r="FT247" s="53"/>
      <c r="FU247" s="53"/>
    </row>
    <row r="248" spans="2:177" s="1" customFormat="1" ht="15.75">
      <c r="B248" s="2"/>
      <c r="C248" s="2"/>
      <c r="D248" s="2"/>
      <c r="E248" s="2"/>
      <c r="F248" s="2"/>
      <c r="G248" s="2"/>
      <c r="H248" s="2"/>
      <c r="I248" s="2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</row>
    <row r="249" spans="2:177" s="1" customFormat="1" ht="15.75">
      <c r="B249" s="2"/>
      <c r="C249" s="2"/>
      <c r="D249" s="2"/>
      <c r="E249" s="2"/>
      <c r="F249" s="2"/>
      <c r="G249" s="2"/>
      <c r="H249" s="2"/>
      <c r="I249" s="2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</row>
    <row r="250" spans="2:177" s="1" customFormat="1" ht="15.75">
      <c r="B250" s="2"/>
      <c r="C250" s="2"/>
      <c r="D250" s="2"/>
      <c r="E250" s="2"/>
      <c r="F250" s="2"/>
      <c r="G250" s="2"/>
      <c r="H250" s="2"/>
      <c r="I250" s="2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</row>
    <row r="251" spans="2:177" s="1" customFormat="1" ht="15.75">
      <c r="B251" s="2"/>
      <c r="C251" s="2"/>
      <c r="D251" s="2"/>
      <c r="E251" s="2"/>
      <c r="F251" s="2"/>
      <c r="G251" s="2"/>
      <c r="H251" s="2"/>
      <c r="I251" s="2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</row>
    <row r="252" spans="2:177" s="1" customFormat="1" ht="15.75">
      <c r="B252" s="2"/>
      <c r="C252" s="2"/>
      <c r="D252" s="2"/>
      <c r="E252" s="2"/>
      <c r="F252" s="2"/>
      <c r="G252" s="2"/>
      <c r="H252" s="2"/>
      <c r="I252" s="2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</row>
    <row r="253" spans="2:177" s="1" customFormat="1" ht="15.75">
      <c r="B253" s="2"/>
      <c r="C253" s="2"/>
      <c r="D253" s="2"/>
      <c r="E253" s="2"/>
      <c r="F253" s="2"/>
      <c r="G253" s="2"/>
      <c r="H253" s="2"/>
      <c r="I253" s="2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</row>
    <row r="254" spans="2:177" s="1" customFormat="1" ht="15.75">
      <c r="B254" s="2"/>
      <c r="C254" s="2"/>
      <c r="D254" s="2"/>
      <c r="E254" s="2"/>
      <c r="F254" s="2"/>
      <c r="G254" s="2"/>
      <c r="H254" s="2"/>
      <c r="I254" s="2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</row>
    <row r="255" spans="2:177" s="1" customFormat="1" ht="15.75">
      <c r="B255" s="2"/>
      <c r="C255" s="2"/>
      <c r="D255" s="2"/>
      <c r="E255" s="2"/>
      <c r="F255" s="2"/>
      <c r="G255" s="2"/>
      <c r="H255" s="2"/>
      <c r="I255" s="2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</row>
    <row r="256" spans="10:177" s="1" customFormat="1" ht="15.75"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</row>
    <row r="257" spans="10:177" s="1" customFormat="1" ht="15.75"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</row>
    <row r="258" spans="10:177" s="1" customFormat="1" ht="15.75"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</row>
    <row r="259" spans="10:177" s="1" customFormat="1" ht="15.75"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</row>
    <row r="260" spans="10:177" s="1" customFormat="1" ht="15.75"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</row>
    <row r="261" spans="10:177" s="1" customFormat="1" ht="15.75"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</row>
    <row r="262" spans="10:177" s="1" customFormat="1" ht="15.75"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</row>
    <row r="263" spans="10:177" s="1" customFormat="1" ht="15.75"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</row>
    <row r="264" spans="10:177" s="1" customFormat="1" ht="15.75"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</row>
    <row r="265" spans="10:177" s="1" customFormat="1" ht="15.75"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</row>
    <row r="266" spans="10:177" s="1" customFormat="1" ht="15.75"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</row>
    <row r="267" spans="10:177" s="1" customFormat="1" ht="15.75"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</row>
    <row r="268" spans="10:177" s="1" customFormat="1" ht="15.75"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</row>
    <row r="269" spans="10:177" s="1" customFormat="1" ht="15.75"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</row>
    <row r="270" spans="10:177" s="1" customFormat="1" ht="15.75"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</row>
    <row r="271" spans="10:177" s="1" customFormat="1" ht="15.75"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</row>
    <row r="272" spans="10:177" s="1" customFormat="1" ht="15.75"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</row>
    <row r="273" spans="10:177" s="1" customFormat="1" ht="15.75"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</row>
    <row r="274" spans="10:177" s="1" customFormat="1" ht="15.75"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</row>
    <row r="275" spans="10:177" s="1" customFormat="1" ht="15.75"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</row>
    <row r="276" spans="10:177" s="1" customFormat="1" ht="15.75"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</row>
    <row r="277" spans="10:177" s="1" customFormat="1" ht="15.75"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</row>
    <row r="278" spans="10:177" s="1" customFormat="1" ht="15.75"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</row>
    <row r="279" spans="10:177" s="1" customFormat="1" ht="15.75"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</row>
    <row r="280" spans="10:177" s="1" customFormat="1" ht="15.75"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</row>
    <row r="281" spans="10:177" s="1" customFormat="1" ht="15.75"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</row>
    <row r="282" spans="10:177" s="1" customFormat="1" ht="15.75"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</row>
    <row r="283" spans="10:177" s="1" customFormat="1" ht="15.75"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</row>
    <row r="284" spans="10:177" s="1" customFormat="1" ht="15.75"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</row>
    <row r="285" spans="10:177" s="1" customFormat="1" ht="15.75"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</row>
    <row r="286" spans="10:177" s="1" customFormat="1" ht="15.75"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</row>
    <row r="287" spans="10:177" s="1" customFormat="1" ht="15.75"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</row>
    <row r="288" spans="10:177" s="1" customFormat="1" ht="15.75"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</row>
    <row r="289" spans="10:177" s="1" customFormat="1" ht="15.75"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</row>
    <row r="290" spans="10:177" s="1" customFormat="1" ht="15.75"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</row>
    <row r="291" spans="10:177" s="1" customFormat="1" ht="15.75"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</row>
    <row r="292" spans="10:177" s="1" customFormat="1" ht="15.75"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</row>
    <row r="293" spans="10:177" s="1" customFormat="1" ht="15.75"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</row>
    <row r="294" spans="10:177" s="1" customFormat="1" ht="15.75"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</row>
    <row r="295" spans="10:177" s="1" customFormat="1" ht="15.75"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</row>
    <row r="296" spans="10:177" s="1" customFormat="1" ht="15.75"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</row>
    <row r="297" spans="10:177" s="1" customFormat="1" ht="15.75"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</row>
    <row r="298" spans="10:177" s="1" customFormat="1" ht="15.75"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</row>
    <row r="299" spans="10:177" s="1" customFormat="1" ht="15.75"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</row>
    <row r="300" spans="10:177" s="1" customFormat="1" ht="15.75"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</row>
    <row r="301" spans="10:177" s="1" customFormat="1" ht="15.75"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</row>
    <row r="302" spans="10:177" s="1" customFormat="1" ht="15.75"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</row>
    <row r="303" spans="10:177" s="1" customFormat="1" ht="15.75"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</row>
    <row r="304" spans="10:177" s="1" customFormat="1" ht="15.75"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</row>
    <row r="305" spans="10:177" s="1" customFormat="1" ht="15.75"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</row>
    <row r="306" spans="10:177" s="1" customFormat="1" ht="15.75"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</row>
    <row r="307" spans="10:177" s="1" customFormat="1" ht="15.75"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</row>
    <row r="308" spans="10:177" s="1" customFormat="1" ht="15.75"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</row>
    <row r="309" spans="10:177" s="1" customFormat="1" ht="15.75"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</row>
    <row r="310" spans="10:177" s="1" customFormat="1" ht="15.75"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</row>
    <row r="311" spans="10:177" s="1" customFormat="1" ht="15.75"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</row>
    <row r="312" spans="10:177" s="1" customFormat="1" ht="15.75"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</row>
    <row r="313" spans="10:177" s="1" customFormat="1" ht="15.75"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</row>
    <row r="314" spans="10:177" s="1" customFormat="1" ht="15.75"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</row>
    <row r="315" spans="10:177" s="1" customFormat="1" ht="15.75"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</row>
    <row r="316" spans="10:177" s="1" customFormat="1" ht="15.75"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</row>
    <row r="317" spans="10:177" s="1" customFormat="1" ht="15.75"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</row>
    <row r="318" spans="10:177" s="1" customFormat="1" ht="15.75"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</row>
    <row r="319" spans="10:177" s="1" customFormat="1" ht="15.75"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</row>
    <row r="320" spans="10:177" s="1" customFormat="1" ht="15.75"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</row>
    <row r="321" spans="10:177" s="1" customFormat="1" ht="15.75"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</row>
    <row r="322" spans="10:177" s="1" customFormat="1" ht="15.75"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</row>
    <row r="323" spans="10:177" s="1" customFormat="1" ht="15.75"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</row>
    <row r="324" spans="10:177" s="1" customFormat="1" ht="15.75"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</row>
    <row r="325" spans="10:177" s="1" customFormat="1" ht="15.75"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</row>
    <row r="326" spans="10:177" s="1" customFormat="1" ht="15.75"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</row>
    <row r="327" spans="10:177" s="1" customFormat="1" ht="15.75"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</row>
    <row r="328" spans="10:177" s="1" customFormat="1" ht="15.75"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</row>
    <row r="329" spans="10:177" s="1" customFormat="1" ht="15.75"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</row>
    <row r="330" spans="10:177" s="1" customFormat="1" ht="15.75"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</row>
    <row r="331" spans="10:177" s="1" customFormat="1" ht="15.75"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</row>
    <row r="332" spans="10:177" s="1" customFormat="1" ht="15.75"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</row>
    <row r="333" spans="10:177" s="1" customFormat="1" ht="15.75"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</row>
    <row r="334" spans="10:177" s="1" customFormat="1" ht="15.75"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</row>
    <row r="335" spans="10:177" s="1" customFormat="1" ht="15.75"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</row>
    <row r="336" spans="10:177" s="1" customFormat="1" ht="15.75"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</row>
    <row r="337" spans="10:177" s="1" customFormat="1" ht="15.75"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</row>
    <row r="338" spans="10:177" s="1" customFormat="1" ht="15.75"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</row>
    <row r="339" spans="10:177" s="1" customFormat="1" ht="15.75"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</row>
    <row r="340" spans="10:177" s="1" customFormat="1" ht="15.75"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</row>
    <row r="341" spans="10:177" s="1" customFormat="1" ht="15.75"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</row>
    <row r="342" spans="10:177" s="1" customFormat="1" ht="15.75"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</row>
    <row r="343" spans="10:177" s="1" customFormat="1" ht="15.75"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</row>
    <row r="344" spans="10:177" s="1" customFormat="1" ht="15.75"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</row>
    <row r="345" spans="10:177" s="1" customFormat="1" ht="15.75"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</row>
    <row r="346" spans="10:177" s="1" customFormat="1" ht="15.75"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</row>
    <row r="347" spans="10:177" s="1" customFormat="1" ht="15.75"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</row>
    <row r="348" spans="10:177" s="1" customFormat="1" ht="15.75"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</row>
    <row r="349" spans="10:177" s="1" customFormat="1" ht="15.75"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</row>
    <row r="350" spans="10:177" s="1" customFormat="1" ht="15.75"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</row>
    <row r="351" spans="10:177" s="1" customFormat="1" ht="15.75"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</row>
    <row r="352" spans="10:177" s="1" customFormat="1" ht="15.75"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</row>
    <row r="353" spans="10:177" s="1" customFormat="1" ht="15.75"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</row>
    <row r="354" spans="10:177" s="1" customFormat="1" ht="15.75"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</row>
    <row r="355" spans="10:177" s="1" customFormat="1" ht="15.75"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</row>
    <row r="356" spans="10:177" s="1" customFormat="1" ht="15.75"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</row>
    <row r="357" spans="10:177" s="1" customFormat="1" ht="15.75"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</row>
    <row r="358" spans="10:177" s="1" customFormat="1" ht="15.75"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</row>
    <row r="359" spans="10:177" s="1" customFormat="1" ht="15.75"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</row>
    <row r="360" spans="10:177" s="1" customFormat="1" ht="15.75"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</row>
    <row r="361" spans="10:177" s="1" customFormat="1" ht="15.75"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</row>
  </sheetData>
  <sheetProtection/>
  <mergeCells count="6">
    <mergeCell ref="A1:I1"/>
    <mergeCell ref="A2:I2"/>
    <mergeCell ref="A3:I3"/>
    <mergeCell ref="A136:I136"/>
    <mergeCell ref="A135:I135"/>
    <mergeCell ref="A134:I13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10" r:id="rId1"/>
  <rowBreaks count="2" manualBreakCount="2">
    <brk id="131" max="38" man="1"/>
    <brk id="136" max="255" man="1"/>
  </rowBreaks>
  <colBreaks count="1" manualBreakCount="1">
    <brk id="3" max="1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1" sqref="A1:E14"/>
    </sheetView>
  </sheetViews>
  <sheetFormatPr defaultColWidth="9.140625" defaultRowHeight="12.75"/>
  <cols>
    <col min="1" max="1" width="50.140625" style="0" customWidth="1"/>
    <col min="2" max="2" width="14.7109375" style="0" customWidth="1"/>
    <col min="3" max="3" width="14.421875" style="0" customWidth="1"/>
    <col min="4" max="4" width="14.7109375" style="0" customWidth="1"/>
    <col min="5" max="5" width="15.8515625" style="0" customWidth="1"/>
  </cols>
  <sheetData>
    <row r="1" spans="1:5" ht="12.75">
      <c r="A1" s="247" t="str">
        <f>Parâmetros!A7</f>
        <v>Município de :  TAVARES</v>
      </c>
      <c r="B1" s="247"/>
      <c r="C1" s="248"/>
      <c r="D1" s="248"/>
      <c r="E1" s="248"/>
    </row>
    <row r="2" spans="1:5" ht="12.75">
      <c r="A2" s="249" t="str">
        <f>Parâmetros!A8</f>
        <v>PLANO PLURIANUAL 2022 - 2025</v>
      </c>
      <c r="B2" s="249"/>
      <c r="C2" s="248"/>
      <c r="D2" s="248"/>
      <c r="E2" s="248"/>
    </row>
    <row r="3" spans="1:5" ht="12.75">
      <c r="A3" s="250" t="s">
        <v>435</v>
      </c>
      <c r="B3" s="251"/>
      <c r="C3" s="251"/>
      <c r="D3" s="251"/>
      <c r="E3" s="251"/>
    </row>
    <row r="4" spans="1:5" ht="12.75">
      <c r="A4" s="252" t="s">
        <v>262</v>
      </c>
      <c r="B4" s="253"/>
      <c r="C4" s="253"/>
      <c r="D4" s="253"/>
      <c r="E4" s="253"/>
    </row>
    <row r="5" spans="1:5" ht="12.75">
      <c r="A5" s="201" t="s">
        <v>29</v>
      </c>
      <c r="B5" s="202">
        <f>Parâmetros!C10</f>
        <v>2022</v>
      </c>
      <c r="C5" s="202">
        <f>B5+1</f>
        <v>2023</v>
      </c>
      <c r="D5" s="202">
        <f>C5+1</f>
        <v>2024</v>
      </c>
      <c r="E5" s="202">
        <f>D5+1</f>
        <v>2025</v>
      </c>
    </row>
    <row r="6" spans="1:5" ht="12.75">
      <c r="A6" s="203" t="s">
        <v>184</v>
      </c>
      <c r="B6" s="204">
        <f>Projeções!F8</f>
        <v>25146348.61135287</v>
      </c>
      <c r="C6" s="204">
        <f>Projeções!G8</f>
        <v>25713394.76346054</v>
      </c>
      <c r="D6" s="204">
        <f>Projeções!H8</f>
        <v>26797866.905142143</v>
      </c>
      <c r="E6" s="204">
        <f>Projeções!I8</f>
        <v>27968949.16482067</v>
      </c>
    </row>
    <row r="7" spans="1:5" ht="12.75">
      <c r="A7" s="205" t="s">
        <v>178</v>
      </c>
      <c r="B7" s="206">
        <f>B8+B9+B10+B11+B12</f>
        <v>3819838.932728017</v>
      </c>
      <c r="C7" s="206">
        <f>C8+C9+C10+C11+C12</f>
        <v>4091723.5008673277</v>
      </c>
      <c r="D7" s="206">
        <f>D8+D9+D10+D11+D12</f>
        <v>4442271.166276871</v>
      </c>
      <c r="E7" s="206">
        <f>E8+E9+E10+E11+E12</f>
        <v>4382686.524668727</v>
      </c>
    </row>
    <row r="8" spans="1:5" ht="12.75">
      <c r="A8" s="207" t="s">
        <v>179</v>
      </c>
      <c r="B8" s="208">
        <f>Projeções!F10+Projeções!F11</f>
        <v>247589.54378235003</v>
      </c>
      <c r="C8" s="208">
        <f>Projeções!G10+Projeções!G11</f>
        <v>270549.05454755586</v>
      </c>
      <c r="D8" s="208">
        <f>Projeções!H10+Projeções!H11</f>
        <v>279700.1462695867</v>
      </c>
      <c r="E8" s="208">
        <f>Projeções!I10+Projeções!I11</f>
        <v>288207.2789053977</v>
      </c>
    </row>
    <row r="9" spans="1:5" ht="12.75">
      <c r="A9" s="209" t="s">
        <v>180</v>
      </c>
      <c r="B9" s="210">
        <f>Projeções!F17</f>
        <v>0</v>
      </c>
      <c r="C9" s="210">
        <f>Projeções!G17</f>
        <v>0</v>
      </c>
      <c r="D9" s="210">
        <f>Projeções!H17</f>
        <v>0</v>
      </c>
      <c r="E9" s="210">
        <f>Projeções!I17</f>
        <v>0</v>
      </c>
    </row>
    <row r="10" spans="1:5" ht="12.75">
      <c r="A10" s="211" t="s">
        <v>181</v>
      </c>
      <c r="B10" s="210">
        <f>Projeções!F83</f>
        <v>0</v>
      </c>
      <c r="C10" s="210">
        <f>Projeções!G83</f>
        <v>0</v>
      </c>
      <c r="D10" s="210">
        <f>Projeções!H83</f>
        <v>0</v>
      </c>
      <c r="E10" s="210">
        <f>Projeções!I83</f>
        <v>0</v>
      </c>
    </row>
    <row r="11" spans="1:5" ht="12.75">
      <c r="A11" s="211" t="s">
        <v>193</v>
      </c>
      <c r="B11" s="210">
        <f>Projeções!F31</f>
        <v>0</v>
      </c>
      <c r="C11" s="210">
        <f>Projeções!G31</f>
        <v>0</v>
      </c>
      <c r="D11" s="210">
        <f>Projeções!H31</f>
        <v>0</v>
      </c>
      <c r="E11" s="210">
        <f>Projeções!I31</f>
        <v>0</v>
      </c>
    </row>
    <row r="12" spans="1:5" ht="12.75">
      <c r="A12" s="209" t="s">
        <v>190</v>
      </c>
      <c r="B12" s="210">
        <f>-(Projeções!F124+Projeções!F125+Projeções!F126)</f>
        <v>3572249.388945667</v>
      </c>
      <c r="C12" s="210">
        <f>-(Projeções!G124+Projeções!G125+Projeções!G126)</f>
        <v>3821174.446319772</v>
      </c>
      <c r="D12" s="210">
        <f>-(Projeções!H124+Projeções!H125+Projeções!H126)</f>
        <v>4162571.0200072844</v>
      </c>
      <c r="E12" s="210">
        <f>-(Projeções!I124+Projeções!I125+Projeções!I126)</f>
        <v>4094479.24576333</v>
      </c>
    </row>
    <row r="13" spans="1:5" ht="12.75">
      <c r="A13" s="205" t="s">
        <v>182</v>
      </c>
      <c r="B13" s="206">
        <f>-(IF(Projeções!F74+Projeções!F125&gt;0,0,Projeções!F74+Projeções!F125))</f>
        <v>614896.5551766665</v>
      </c>
      <c r="C13" s="206">
        <f>-(IF(Projeções!G74+Projeções!G125&gt;0,0,Projeções!G74+Projeções!G125))</f>
        <v>639641.1721046017</v>
      </c>
      <c r="D13" s="206">
        <f>-(IF(Projeções!H74+Projeções!H125&gt;0,0,Projeções!H74+Projeções!H125))</f>
        <v>721168.6370429308</v>
      </c>
      <c r="E13" s="206">
        <f>-(IF(Projeções!I74+Projeções!I125&gt;0,0,Projeções!I74+Projeções!I125))</f>
        <v>798540.6619273387</v>
      </c>
    </row>
    <row r="14" spans="1:5" ht="12.75">
      <c r="A14" s="203" t="s">
        <v>183</v>
      </c>
      <c r="B14" s="204">
        <f>B6-B7+B13</f>
        <v>21941406.233801518</v>
      </c>
      <c r="C14" s="204">
        <f>C6-C7+C13</f>
        <v>22261312.43469781</v>
      </c>
      <c r="D14" s="204">
        <f>D6-D7+D13</f>
        <v>23076764.375908203</v>
      </c>
      <c r="E14" s="204">
        <f>E6-E7+E13</f>
        <v>24384803.302079283</v>
      </c>
    </row>
    <row r="16" ht="12.75">
      <c r="A16" s="56"/>
    </row>
  </sheetData>
  <sheetProtection/>
  <mergeCells count="4">
    <mergeCell ref="A1:E1"/>
    <mergeCell ref="A2:E2"/>
    <mergeCell ref="A3:E3"/>
    <mergeCell ref="A4:E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SheetLayoutView="100" zoomScalePageLayoutView="0" workbookViewId="0" topLeftCell="A43">
      <selection activeCell="A1" sqref="A1:E52"/>
    </sheetView>
  </sheetViews>
  <sheetFormatPr defaultColWidth="9.140625" defaultRowHeight="12.75"/>
  <cols>
    <col min="1" max="1" width="71.28125" style="0" customWidth="1"/>
    <col min="2" max="2" width="18.28125" style="0" customWidth="1"/>
    <col min="3" max="3" width="20.140625" style="0" customWidth="1"/>
    <col min="4" max="4" width="21.00390625" style="0" customWidth="1"/>
    <col min="5" max="5" width="18.57421875" style="0" customWidth="1"/>
  </cols>
  <sheetData>
    <row r="1" spans="1:5" ht="12.75">
      <c r="A1" s="259" t="str">
        <f>Parâmetros!A7</f>
        <v>Município de :  TAVARES</v>
      </c>
      <c r="B1" s="260"/>
      <c r="C1" s="260"/>
      <c r="D1" s="260"/>
      <c r="E1" s="154"/>
    </row>
    <row r="2" spans="1:5" ht="12.75">
      <c r="A2" s="261" t="str">
        <f>Parâmetros!A8</f>
        <v>PLANO PLURIANUAL 2022 - 2025</v>
      </c>
      <c r="B2" s="261"/>
      <c r="C2" s="261"/>
      <c r="D2" s="261"/>
      <c r="E2" s="212"/>
    </row>
    <row r="3" spans="1:5" ht="15">
      <c r="A3" s="266" t="s">
        <v>441</v>
      </c>
      <c r="B3" s="267"/>
      <c r="C3" s="267"/>
      <c r="D3" s="267"/>
      <c r="E3" s="268"/>
    </row>
    <row r="4" spans="1:5" ht="15">
      <c r="A4" s="213"/>
      <c r="B4" s="214"/>
      <c r="C4" s="214"/>
      <c r="D4" s="214"/>
      <c r="E4" s="214"/>
    </row>
    <row r="5" spans="1:5" ht="12.75">
      <c r="A5" s="262" t="s">
        <v>197</v>
      </c>
      <c r="B5" s="254"/>
      <c r="C5" s="255"/>
      <c r="D5" s="255"/>
      <c r="E5" s="256"/>
    </row>
    <row r="6" spans="1:5" ht="12.75">
      <c r="A6" s="263"/>
      <c r="B6" s="215">
        <f>RCL!B5</f>
        <v>2022</v>
      </c>
      <c r="C6" s="215">
        <f>RCL!C5</f>
        <v>2023</v>
      </c>
      <c r="D6" s="215">
        <f>RCL!D5</f>
        <v>2024</v>
      </c>
      <c r="E6" s="215">
        <f>RCL!E5</f>
        <v>2025</v>
      </c>
    </row>
    <row r="7" spans="1:5" ht="12.75">
      <c r="A7" s="216" t="s">
        <v>194</v>
      </c>
      <c r="B7" s="217">
        <f>RCL!B14*0.54</f>
        <v>11848359.366252821</v>
      </c>
      <c r="C7" s="217">
        <f>RCL!C14*0.54</f>
        <v>12021108.71473682</v>
      </c>
      <c r="D7" s="217">
        <f>RCL!D14*0.54</f>
        <v>12461452.76299043</v>
      </c>
      <c r="E7" s="217">
        <f>RCL!E14*0.54</f>
        <v>13167793.783122813</v>
      </c>
    </row>
    <row r="8" spans="1:5" ht="12.75">
      <c r="A8" s="216" t="s">
        <v>195</v>
      </c>
      <c r="B8" s="217">
        <f>RCL!B14*0.513</f>
        <v>11255941.39794018</v>
      </c>
      <c r="C8" s="217">
        <f>RCL!C14*0.513</f>
        <v>11420053.278999977</v>
      </c>
      <c r="D8" s="217">
        <f>RCL!D14*0.513</f>
        <v>11838380.124840908</v>
      </c>
      <c r="E8" s="217">
        <f>RCL!E14*0.513</f>
        <v>12509404.093966672</v>
      </c>
    </row>
    <row r="9" spans="1:5" ht="12.75">
      <c r="A9" s="216" t="s">
        <v>196</v>
      </c>
      <c r="B9" s="217">
        <f>RCL!B14*0.486</f>
        <v>10663523.429627538</v>
      </c>
      <c r="C9" s="217">
        <f>RCL!C14*0.486</f>
        <v>10818997.843263136</v>
      </c>
      <c r="D9" s="217">
        <f>RCL!D14*0.486</f>
        <v>11215307.486691387</v>
      </c>
      <c r="E9" s="217">
        <f>RCL!E14*0.486</f>
        <v>11851014.404810531</v>
      </c>
    </row>
    <row r="10" spans="1:5" ht="12.75">
      <c r="A10" s="264"/>
      <c r="B10" s="265"/>
      <c r="C10" s="265"/>
      <c r="D10" s="265"/>
      <c r="E10" s="256"/>
    </row>
    <row r="11" spans="1:5" ht="12.75">
      <c r="A11" s="218"/>
      <c r="B11" s="219"/>
      <c r="C11" s="219"/>
      <c r="D11" s="219"/>
      <c r="E11" s="219"/>
    </row>
    <row r="12" spans="1:5" ht="12.75">
      <c r="A12" s="218"/>
      <c r="B12" s="219"/>
      <c r="C12" s="219"/>
      <c r="D12" s="219"/>
      <c r="E12" s="219"/>
    </row>
    <row r="13" spans="1:5" ht="12.75">
      <c r="A13" s="257" t="s">
        <v>198</v>
      </c>
      <c r="B13" s="254"/>
      <c r="C13" s="255"/>
      <c r="D13" s="255"/>
      <c r="E13" s="256"/>
    </row>
    <row r="14" spans="1:5" ht="12.75">
      <c r="A14" s="258"/>
      <c r="B14" s="215">
        <f>RCL!B5</f>
        <v>2022</v>
      </c>
      <c r="C14" s="215">
        <f>RCL!C5</f>
        <v>2023</v>
      </c>
      <c r="D14" s="215">
        <f>RCL!D5</f>
        <v>2024</v>
      </c>
      <c r="E14" s="215">
        <f>RCL!E5</f>
        <v>2025</v>
      </c>
    </row>
    <row r="15" spans="1:5" ht="12.75">
      <c r="A15" s="220" t="s">
        <v>199</v>
      </c>
      <c r="B15" s="217">
        <f>RCL!B14*0.06</f>
        <v>1316484.374028091</v>
      </c>
      <c r="C15" s="217">
        <f>RCL!C14*0.06</f>
        <v>1335678.7460818687</v>
      </c>
      <c r="D15" s="217">
        <f>RCL!D14*0.06</f>
        <v>1384605.8625544922</v>
      </c>
      <c r="E15" s="217">
        <f>RCL!E14*0.06</f>
        <v>1463088.1981247568</v>
      </c>
    </row>
    <row r="16" spans="1:5" ht="12.75">
      <c r="A16" s="221" t="s">
        <v>200</v>
      </c>
      <c r="B16" s="217">
        <f>RCL!B14*0.057</f>
        <v>1250660.1553266866</v>
      </c>
      <c r="C16" s="217">
        <f>RCL!C14*0.057</f>
        <v>1268894.8087777751</v>
      </c>
      <c r="D16" s="217">
        <f>RCL!D14*0.057</f>
        <v>1315375.5694267675</v>
      </c>
      <c r="E16" s="217">
        <f>RCL!E14*0.057</f>
        <v>1389933.7882185192</v>
      </c>
    </row>
    <row r="17" spans="1:5" ht="12.75">
      <c r="A17" s="222" t="s">
        <v>201</v>
      </c>
      <c r="B17" s="217">
        <f>RCL!B14*0.054</f>
        <v>1184835.936625282</v>
      </c>
      <c r="C17" s="217">
        <f>RCL!C14*0.054</f>
        <v>1202110.8714736816</v>
      </c>
      <c r="D17" s="217">
        <f>RCL!D14*0.054</f>
        <v>1246145.2762990429</v>
      </c>
      <c r="E17" s="217">
        <f>RCL!E14*0.054</f>
        <v>1316779.3783122813</v>
      </c>
    </row>
    <row r="20" spans="1:5" ht="12.75">
      <c r="A20" s="57"/>
      <c r="B20" s="58"/>
      <c r="C20" s="58"/>
      <c r="D20" s="58"/>
      <c r="E20" s="58"/>
    </row>
    <row r="21" spans="1:5" ht="12.75">
      <c r="A21" s="58"/>
      <c r="B21" s="58"/>
      <c r="C21" s="58"/>
      <c r="D21" s="58"/>
      <c r="E21" s="58"/>
    </row>
    <row r="22" spans="1:5" ht="12.75">
      <c r="A22" s="58"/>
      <c r="B22" s="58"/>
      <c r="C22" s="58"/>
      <c r="D22" s="58"/>
      <c r="E22" s="58"/>
    </row>
    <row r="23" spans="1:5" ht="12.75">
      <c r="A23" s="58"/>
      <c r="B23" s="58"/>
      <c r="C23" s="58"/>
      <c r="D23" s="58"/>
      <c r="E23" s="58"/>
    </row>
    <row r="24" spans="1:5" ht="12.75">
      <c r="A24" s="58"/>
      <c r="B24" s="58"/>
      <c r="C24" s="58"/>
      <c r="D24" s="58"/>
      <c r="E24" s="58"/>
    </row>
    <row r="25" spans="1:5" ht="12.75">
      <c r="A25" s="58"/>
      <c r="B25" s="58"/>
      <c r="C25" s="58"/>
      <c r="D25" s="58"/>
      <c r="E25" s="58"/>
    </row>
    <row r="26" spans="1:5" ht="12.75">
      <c r="A26" s="58"/>
      <c r="B26" s="58"/>
      <c r="C26" s="58"/>
      <c r="D26" s="58"/>
      <c r="E26" s="58"/>
    </row>
    <row r="27" spans="1:5" ht="12.75">
      <c r="A27" s="58"/>
      <c r="B27" s="58"/>
      <c r="C27" s="58"/>
      <c r="D27" s="58"/>
      <c r="E27" s="58"/>
    </row>
    <row r="28" spans="1:5" ht="12.75">
      <c r="A28" s="58"/>
      <c r="B28" s="58"/>
      <c r="C28" s="58"/>
      <c r="D28" s="58"/>
      <c r="E28" s="58"/>
    </row>
    <row r="29" spans="1:5" ht="12.75">
      <c r="A29" s="58"/>
      <c r="B29" s="58"/>
      <c r="C29" s="58"/>
      <c r="D29" s="58"/>
      <c r="E29" s="58"/>
    </row>
    <row r="30" spans="1:5" ht="12.75">
      <c r="A30" s="58"/>
      <c r="B30" s="58"/>
      <c r="C30" s="58"/>
      <c r="D30" s="58"/>
      <c r="E30" s="58"/>
    </row>
    <row r="31" spans="1:5" ht="12.75">
      <c r="A31" s="58"/>
      <c r="B31" s="58"/>
      <c r="C31" s="58"/>
      <c r="D31" s="58"/>
      <c r="E31" s="58"/>
    </row>
    <row r="32" spans="1:5" ht="12.75">
      <c r="A32" s="58"/>
      <c r="B32" s="58"/>
      <c r="C32" s="58"/>
      <c r="D32" s="58"/>
      <c r="E32" s="58"/>
    </row>
    <row r="33" spans="1:5" ht="12.75">
      <c r="A33" s="58"/>
      <c r="B33" s="58"/>
      <c r="C33" s="58"/>
      <c r="D33" s="58"/>
      <c r="E33" s="58"/>
    </row>
    <row r="34" spans="1:5" ht="12.75">
      <c r="A34" s="58"/>
      <c r="B34" s="58"/>
      <c r="C34" s="58"/>
      <c r="D34" s="58"/>
      <c r="E34" s="58"/>
    </row>
    <row r="35" spans="1:5" ht="0.75" customHeight="1">
      <c r="A35" s="58"/>
      <c r="B35" s="58"/>
      <c r="C35" s="58"/>
      <c r="D35" s="58"/>
      <c r="E35" s="58"/>
    </row>
    <row r="36" spans="1:5" ht="12.75" customHeight="1" hidden="1">
      <c r="A36" s="58"/>
      <c r="B36" s="58"/>
      <c r="C36" s="58"/>
      <c r="D36" s="58"/>
      <c r="E36" s="58"/>
    </row>
    <row r="37" spans="1:5" ht="12.75" customHeight="1" hidden="1">
      <c r="A37" s="58"/>
      <c r="B37" s="58"/>
      <c r="C37" s="58"/>
      <c r="D37" s="58"/>
      <c r="E37" s="58"/>
    </row>
    <row r="38" spans="1:5" ht="12.75" customHeight="1" hidden="1">
      <c r="A38" s="58"/>
      <c r="B38" s="58"/>
      <c r="C38" s="58"/>
      <c r="D38" s="58"/>
      <c r="E38" s="58"/>
    </row>
    <row r="39" spans="1:5" ht="12.75" customHeight="1" hidden="1">
      <c r="A39" s="58"/>
      <c r="B39" s="58"/>
      <c r="C39" s="58"/>
      <c r="D39" s="58"/>
      <c r="E39" s="58"/>
    </row>
    <row r="40" spans="1:5" ht="12.75" customHeight="1" hidden="1">
      <c r="A40" s="58"/>
      <c r="B40" s="58"/>
      <c r="C40" s="58"/>
      <c r="D40" s="58"/>
      <c r="E40" s="58"/>
    </row>
    <row r="41" spans="1:5" ht="12.75" customHeight="1" hidden="1">
      <c r="A41" s="58"/>
      <c r="B41" s="58"/>
      <c r="C41" s="58"/>
      <c r="D41" s="58"/>
      <c r="E41" s="58"/>
    </row>
    <row r="42" spans="1:5" ht="12.75" customHeight="1" hidden="1">
      <c r="A42" s="58"/>
      <c r="B42" s="58"/>
      <c r="C42" s="58"/>
      <c r="D42" s="58"/>
      <c r="E42" s="58"/>
    </row>
  </sheetData>
  <sheetProtection/>
  <mergeCells count="8">
    <mergeCell ref="B13:E13"/>
    <mergeCell ref="A13:A14"/>
    <mergeCell ref="A1:D1"/>
    <mergeCell ref="A2:D2"/>
    <mergeCell ref="A5:A6"/>
    <mergeCell ref="B5:E5"/>
    <mergeCell ref="A10:E10"/>
    <mergeCell ref="A3:E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7" r:id="rId3"/>
  <legacyDrawing r:id="rId2"/>
  <oleObjects>
    <oleObject progId="Word.Document.8" shapeId="8505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zoomScalePageLayoutView="0" workbookViewId="0" topLeftCell="A25">
      <selection activeCell="A1" sqref="A1:E40"/>
    </sheetView>
  </sheetViews>
  <sheetFormatPr defaultColWidth="9.140625" defaultRowHeight="12.75"/>
  <cols>
    <col min="1" max="1" width="81.00390625" style="75" customWidth="1"/>
    <col min="2" max="5" width="13.7109375" style="75" customWidth="1"/>
    <col min="6" max="7" width="22.7109375" style="75" customWidth="1"/>
    <col min="8" max="16384" width="9.140625" style="75" customWidth="1"/>
  </cols>
  <sheetData>
    <row r="1" spans="1:5" s="73" customFormat="1" ht="12.75" customHeight="1">
      <c r="A1" s="269" t="str">
        <f>Parâmetros!A7</f>
        <v>Município de :  TAVARES</v>
      </c>
      <c r="B1" s="270"/>
      <c r="C1" s="270"/>
      <c r="D1" s="270"/>
      <c r="E1" s="270"/>
    </row>
    <row r="2" spans="1:5" s="74" customFormat="1" ht="12.75" customHeight="1">
      <c r="A2" s="271" t="s">
        <v>365</v>
      </c>
      <c r="B2" s="260"/>
      <c r="C2" s="260"/>
      <c r="D2" s="260"/>
      <c r="E2" s="260"/>
    </row>
    <row r="3" spans="1:5" s="74" customFormat="1" ht="12.75" customHeight="1">
      <c r="A3" s="272" t="s">
        <v>442</v>
      </c>
      <c r="B3" s="273"/>
      <c r="C3" s="273"/>
      <c r="D3" s="273"/>
      <c r="E3" s="273"/>
    </row>
    <row r="4" spans="1:5" ht="12.75" customHeight="1">
      <c r="A4" s="252" t="s">
        <v>262</v>
      </c>
      <c r="B4" s="253"/>
      <c r="C4" s="253"/>
      <c r="D4" s="253"/>
      <c r="E4" s="253"/>
    </row>
    <row r="5" spans="1:5" ht="12.75" customHeight="1">
      <c r="A5" s="274" t="s">
        <v>352</v>
      </c>
      <c r="B5" s="276" t="s">
        <v>353</v>
      </c>
      <c r="C5" s="276"/>
      <c r="D5" s="276"/>
      <c r="E5" s="276"/>
    </row>
    <row r="6" spans="1:5" ht="12.75" customHeight="1">
      <c r="A6" s="275"/>
      <c r="B6" s="277" t="s">
        <v>366</v>
      </c>
      <c r="C6" s="277" t="s">
        <v>367</v>
      </c>
      <c r="D6" s="277" t="s">
        <v>368</v>
      </c>
      <c r="E6" s="279" t="s">
        <v>369</v>
      </c>
    </row>
    <row r="7" spans="1:5" ht="12.75" customHeight="1" thickBot="1">
      <c r="A7" s="79"/>
      <c r="B7" s="278"/>
      <c r="C7" s="278"/>
      <c r="D7" s="278"/>
      <c r="E7" s="278"/>
    </row>
    <row r="8" spans="1:5" ht="12.75" customHeight="1" thickBot="1">
      <c r="A8" s="80" t="s">
        <v>370</v>
      </c>
      <c r="B8" s="98">
        <f>Projeções!E9</f>
        <v>3285397.21</v>
      </c>
      <c r="C8" s="98">
        <f>Projeções!F9</f>
        <v>2011854.2881122003</v>
      </c>
      <c r="D8" s="98">
        <f>Projeções!G9</f>
        <v>2342868.7947498187</v>
      </c>
      <c r="E8" s="98">
        <f>Projeções!H9</f>
        <v>2760413.6624125117</v>
      </c>
    </row>
    <row r="9" spans="1:254" ht="12.75" customHeight="1">
      <c r="A9" s="81" t="s">
        <v>371</v>
      </c>
      <c r="B9" s="99">
        <f>Projeções!E17</f>
        <v>0</v>
      </c>
      <c r="C9" s="99">
        <f>Projeções!F17</f>
        <v>0</v>
      </c>
      <c r="D9" s="99">
        <f>Projeções!G17</f>
        <v>0</v>
      </c>
      <c r="E9" s="99">
        <f>Projeções!H17</f>
        <v>0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</row>
    <row r="10" spans="1:254" ht="12.75" customHeight="1">
      <c r="A10" s="81" t="s">
        <v>372</v>
      </c>
      <c r="B10" s="100">
        <f>Projeções!E22</f>
        <v>0</v>
      </c>
      <c r="C10" s="100">
        <f>Projeções!F22</f>
        <v>0</v>
      </c>
      <c r="D10" s="100">
        <f>Projeções!G22</f>
        <v>0</v>
      </c>
      <c r="E10" s="100">
        <f>Projeções!H22</f>
        <v>0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</row>
    <row r="11" spans="1:5" ht="12.75" customHeight="1" thickBot="1">
      <c r="A11" s="82" t="s">
        <v>373</v>
      </c>
      <c r="B11" s="101">
        <f>SUM(B12:B19)</f>
        <v>15252000</v>
      </c>
      <c r="C11" s="101">
        <f>SUM(C12:C19)</f>
        <v>16000693.11956667</v>
      </c>
      <c r="D11" s="101">
        <f>SUM(D12:D19)</f>
        <v>16413169.25267878</v>
      </c>
      <c r="E11" s="101">
        <f>SUM(E12:E19)</f>
        <v>17000824.24610088</v>
      </c>
    </row>
    <row r="12" spans="1:5" ht="12.75" customHeight="1">
      <c r="A12" s="83" t="s">
        <v>354</v>
      </c>
      <c r="B12" s="102">
        <f>Projeções!E44</f>
        <v>8000000</v>
      </c>
      <c r="C12" s="102">
        <f>Projeções!F44</f>
        <v>8449934.8994</v>
      </c>
      <c r="D12" s="102">
        <f>Projeções!G44</f>
        <v>8597167.737352667</v>
      </c>
      <c r="E12" s="102">
        <f>Projeções!H44</f>
        <v>8933466.607108451</v>
      </c>
    </row>
    <row r="13" spans="1:5" ht="12.75" customHeight="1">
      <c r="A13" s="83" t="s">
        <v>355</v>
      </c>
      <c r="B13" s="102">
        <f>Projeções!E45+Projeções!E46</f>
        <v>737000</v>
      </c>
      <c r="C13" s="102">
        <f>Projeções!F45+Projeções!F46</f>
        <v>757170.3095666668</v>
      </c>
      <c r="D13" s="102">
        <f>Projeções!G45+Projeções!G46</f>
        <v>778886.8653454446</v>
      </c>
      <c r="E13" s="102">
        <f>Projeções!H45+Projeções!H46</f>
        <v>810723.7257186532</v>
      </c>
    </row>
    <row r="14" spans="1:5" ht="12.75" customHeight="1">
      <c r="A14" s="83" t="s">
        <v>356</v>
      </c>
      <c r="B14" s="102">
        <f>Projeções!E47</f>
        <v>250000</v>
      </c>
      <c r="C14" s="102">
        <f>Projeções!F47</f>
        <v>277285.49596666667</v>
      </c>
      <c r="D14" s="102">
        <f>Projeções!G47</f>
        <v>279562.7790947778</v>
      </c>
      <c r="E14" s="102">
        <f>Projeções!H47</f>
        <v>287775.88477191515</v>
      </c>
    </row>
    <row r="15" spans="1:5" ht="12.75" customHeight="1">
      <c r="A15" s="84" t="s">
        <v>357</v>
      </c>
      <c r="B15" s="102">
        <f>Projeções!E52</f>
        <v>0</v>
      </c>
      <c r="C15" s="102">
        <f>Projeções!F52</f>
        <v>0</v>
      </c>
      <c r="D15" s="102">
        <f>Projeções!G52</f>
        <v>0</v>
      </c>
      <c r="E15" s="102">
        <f>Projeções!H52</f>
        <v>0</v>
      </c>
    </row>
    <row r="16" spans="1:5" ht="12.75" customHeight="1">
      <c r="A16" s="83" t="s">
        <v>358</v>
      </c>
      <c r="B16" s="102">
        <f>Projeções!E59</f>
        <v>5700000</v>
      </c>
      <c r="C16" s="102">
        <f>Projeções!F59</f>
        <v>5936941.231133334</v>
      </c>
      <c r="D16" s="102">
        <f>Projeções!G59</f>
        <v>6153165.840004223</v>
      </c>
      <c r="E16" s="102">
        <f>Projeções!H59</f>
        <v>6345138.18870573</v>
      </c>
    </row>
    <row r="17" spans="1:5" ht="12.75" customHeight="1">
      <c r="A17" s="83" t="s">
        <v>359</v>
      </c>
      <c r="B17" s="102">
        <f>Projeções!E60</f>
        <v>490000</v>
      </c>
      <c r="C17" s="102">
        <f>Projeções!F60</f>
        <v>490017.6173</v>
      </c>
      <c r="D17" s="102">
        <f>Projeções!G60</f>
        <v>514540.47553700005</v>
      </c>
      <c r="E17" s="102">
        <f>Projeções!H60</f>
        <v>533059.0531118633</v>
      </c>
    </row>
    <row r="18" spans="1:5" ht="12.75" customHeight="1">
      <c r="A18" s="83" t="s">
        <v>360</v>
      </c>
      <c r="B18" s="102">
        <f>Projeções!E61</f>
        <v>60000</v>
      </c>
      <c r="C18" s="102">
        <f>Projeções!F61</f>
        <v>78147.85303333333</v>
      </c>
      <c r="D18" s="102">
        <f>Projeções!G61</f>
        <v>77826.95398188889</v>
      </c>
      <c r="E18" s="102">
        <f>Projeções!H61</f>
        <v>77031.01450209593</v>
      </c>
    </row>
    <row r="19" spans="1:5" ht="12.75" customHeight="1">
      <c r="A19" s="83" t="s">
        <v>374</v>
      </c>
      <c r="B19" s="102">
        <f>Projeções!E62</f>
        <v>15000</v>
      </c>
      <c r="C19" s="102">
        <f>Projeções!F62</f>
        <v>11195.713166666666</v>
      </c>
      <c r="D19" s="102">
        <f>Projeções!G62</f>
        <v>12018.601362777777</v>
      </c>
      <c r="E19" s="102">
        <f>Projeções!H62</f>
        <v>13629.772182168519</v>
      </c>
    </row>
    <row r="20" spans="1:5" ht="12.75" customHeight="1">
      <c r="A20" s="85" t="s">
        <v>361</v>
      </c>
      <c r="B20" s="103">
        <f>Projeções!E124+Projeções!E126</f>
        <v>-1472283.27</v>
      </c>
      <c r="C20" s="103">
        <f>Projeções!F124+Projeções!F126</f>
        <v>-525783.969579</v>
      </c>
      <c r="D20" s="103">
        <f>Projeções!G124+Projeções!G126</f>
        <v>-696721.6891256603</v>
      </c>
      <c r="E20" s="103">
        <f>Projeções!H124+Projeções!H126</f>
        <v>-927276.8703672737</v>
      </c>
    </row>
    <row r="21" spans="1:5" ht="12.75" customHeight="1" thickBot="1">
      <c r="A21" s="83"/>
      <c r="B21" s="102"/>
      <c r="C21" s="102"/>
      <c r="D21" s="102"/>
      <c r="E21" s="102"/>
    </row>
    <row r="22" spans="1:5" ht="12.75" customHeight="1" thickBot="1">
      <c r="A22" s="80" t="s">
        <v>377</v>
      </c>
      <c r="B22" s="104">
        <f>B8+B9+B10+B11+B20</f>
        <v>17065113.94</v>
      </c>
      <c r="C22" s="104">
        <f>C8+C9+C10+C11+C20</f>
        <v>17486763.43809987</v>
      </c>
      <c r="D22" s="104">
        <f>D8+D9+D10+D11+D20</f>
        <v>18059316.35830294</v>
      </c>
      <c r="E22" s="104">
        <f>E8+E9+E10+E11+E20</f>
        <v>18833961.03814612</v>
      </c>
    </row>
    <row r="23" spans="1:5" ht="12.75" customHeight="1">
      <c r="A23" s="86" t="s">
        <v>362</v>
      </c>
      <c r="B23" s="87"/>
      <c r="C23" s="88"/>
      <c r="D23" s="89"/>
      <c r="E23" s="89"/>
    </row>
    <row r="24" spans="1:5" ht="12.75" customHeight="1">
      <c r="A24" s="90" t="s">
        <v>363</v>
      </c>
      <c r="B24" s="107">
        <v>0</v>
      </c>
      <c r="C24" s="88"/>
      <c r="D24" s="89"/>
      <c r="E24" s="89"/>
    </row>
    <row r="25" spans="1:5" ht="12.75" customHeight="1">
      <c r="A25" s="91" t="s">
        <v>364</v>
      </c>
      <c r="B25" s="106"/>
      <c r="C25" s="106"/>
      <c r="D25" s="106"/>
      <c r="E25" s="106"/>
    </row>
    <row r="26" spans="1:5" ht="12.75" customHeight="1">
      <c r="A26" s="92" t="str">
        <f>CONCATENATE("Legislativo Total ",TEXT(B24,"0,0%")," da RAEA")</f>
        <v>Legislativo Total 0,0% da RAEA</v>
      </c>
      <c r="B26" s="105">
        <f>+B22*$B$24</f>
        <v>0</v>
      </c>
      <c r="C26" s="105">
        <f>+C22*$B$24</f>
        <v>0</v>
      </c>
      <c r="D26" s="105">
        <f>+D22*$B$24</f>
        <v>0</v>
      </c>
      <c r="E26" s="105">
        <f>+E22*$B$24</f>
        <v>0</v>
      </c>
    </row>
    <row r="27" spans="1:5" ht="12.75" customHeight="1">
      <c r="A27" s="93" t="s">
        <v>378</v>
      </c>
      <c r="B27" s="105">
        <f>+B26*70%</f>
        <v>0</v>
      </c>
      <c r="C27" s="105">
        <f>+C26*70%</f>
        <v>0</v>
      </c>
      <c r="D27" s="105">
        <f>+D26*70%</f>
        <v>0</v>
      </c>
      <c r="E27" s="105">
        <f>+E26*70%</f>
        <v>0</v>
      </c>
    </row>
    <row r="28" spans="1:5" ht="12.75" customHeight="1">
      <c r="A28" s="94"/>
      <c r="B28" s="95"/>
      <c r="C28" s="96"/>
      <c r="D28" s="97"/>
      <c r="E28" s="97"/>
    </row>
    <row r="29" spans="1:5" ht="12.75" customHeight="1">
      <c r="A29" s="108" t="s">
        <v>375</v>
      </c>
      <c r="B29" s="113">
        <f>Parâmetros!C10</f>
        <v>2022</v>
      </c>
      <c r="C29" s="113">
        <f>B29+1</f>
        <v>2023</v>
      </c>
      <c r="D29" s="113">
        <f>C29+1</f>
        <v>2024</v>
      </c>
      <c r="E29" s="113">
        <f>D29+1</f>
        <v>2025</v>
      </c>
    </row>
    <row r="30" spans="1:5" ht="12.75" customHeight="1">
      <c r="A30" s="114"/>
      <c r="B30" s="109"/>
      <c r="C30" s="109"/>
      <c r="D30" s="109"/>
      <c r="E30" s="109"/>
    </row>
    <row r="31" spans="1:5" s="78" customFormat="1" ht="12.75" customHeight="1">
      <c r="A31" s="115" t="str">
        <f>Projeções!B140</f>
        <v>Pessoal e Encargos Sociais</v>
      </c>
      <c r="B31" s="110">
        <f>Projeções!F141</f>
        <v>815752.5053895</v>
      </c>
      <c r="C31" s="110">
        <f>Projeções!G141</f>
        <v>829259.3115358897</v>
      </c>
      <c r="D31" s="110">
        <f>Projeções!H141</f>
        <v>863547.228231478</v>
      </c>
      <c r="E31" s="110">
        <f>Projeções!I141</f>
        <v>906179.3266772412</v>
      </c>
    </row>
    <row r="32" spans="1:5" s="78" customFormat="1" ht="12.75" customHeight="1">
      <c r="A32" s="115" t="str">
        <f>Projeções!B147</f>
        <v>Juros e Encargos da Dívida</v>
      </c>
      <c r="B32" s="110">
        <f>Projeções!F148</f>
        <v>0</v>
      </c>
      <c r="C32" s="110">
        <f>Projeções!G148</f>
        <v>0</v>
      </c>
      <c r="D32" s="110">
        <f>Projeções!H148</f>
        <v>0</v>
      </c>
      <c r="E32" s="110">
        <f>Projeções!I148</f>
        <v>0</v>
      </c>
    </row>
    <row r="33" spans="1:5" s="78" customFormat="1" ht="12.75" customHeight="1">
      <c r="A33" s="115" t="str">
        <f>Projeções!B154</f>
        <v>Outros Benefícios Assistênciais do Servidor e do Militar</v>
      </c>
      <c r="B33" s="110">
        <f>Projeções!F155</f>
        <v>27707.373202950006</v>
      </c>
      <c r="C33" s="110">
        <f>Projeções!G155</f>
        <v>28592.90837676289</v>
      </c>
      <c r="D33" s="110">
        <f>Projeções!H155</f>
        <v>30065.08204410817</v>
      </c>
      <c r="E33" s="110">
        <f>Projeções!I155</f>
        <v>31198.192128651008</v>
      </c>
    </row>
    <row r="34" spans="1:5" s="78" customFormat="1" ht="12.75" customHeight="1">
      <c r="A34" s="115" t="str">
        <f>Projeções!B161</f>
        <v>Auxílio - Alimentação</v>
      </c>
      <c r="B34" s="110">
        <f>Projeções!F162</f>
        <v>8480.12342625</v>
      </c>
      <c r="C34" s="110">
        <f>Projeções!G162</f>
        <v>8357.797657420444</v>
      </c>
      <c r="D34" s="110">
        <f>Projeções!H162</f>
        <v>9335.370077135549</v>
      </c>
      <c r="E34" s="110">
        <f>Projeções!I162</f>
        <v>9454.708832473754</v>
      </c>
    </row>
    <row r="35" spans="1:5" s="78" customFormat="1" ht="12.75" customHeight="1">
      <c r="A35" s="115" t="str">
        <f>Projeções!B168</f>
        <v>Obrigações Tributárias e Contributivas</v>
      </c>
      <c r="B35" s="110">
        <f>Projeções!F169</f>
        <v>69.06</v>
      </c>
      <c r="C35" s="110">
        <f>Projeções!G169</f>
        <v>92.67323266666668</v>
      </c>
      <c r="D35" s="110">
        <f>Projeções!H169</f>
        <v>90.06240536060002</v>
      </c>
      <c r="E35" s="110">
        <f>Projeções!I169</f>
        <v>86.62609266931399</v>
      </c>
    </row>
    <row r="36" spans="1:5" s="78" customFormat="1" ht="12.75" customHeight="1">
      <c r="A36" s="115" t="str">
        <f>Projeções!B175</f>
        <v>Sentenças Judiciais  (Exceto Precatórios de Pessoal)</v>
      </c>
      <c r="B36" s="110">
        <f>Projeções!F176</f>
        <v>0</v>
      </c>
      <c r="C36" s="110">
        <f>Projeções!G176</f>
        <v>0</v>
      </c>
      <c r="D36" s="110">
        <f>Projeções!H176</f>
        <v>0</v>
      </c>
      <c r="E36" s="110">
        <f>Projeções!I176</f>
        <v>0</v>
      </c>
    </row>
    <row r="37" spans="1:5" s="78" customFormat="1" ht="12.75" customHeight="1">
      <c r="A37" s="115" t="str">
        <f>Projeções!B182</f>
        <v>Indenizações e Restituições</v>
      </c>
      <c r="B37" s="110">
        <f>Projeções!F183+Projeções!F190</f>
        <v>0</v>
      </c>
      <c r="C37" s="110">
        <f>Projeções!G183+Projeções!G190</f>
        <v>0</v>
      </c>
      <c r="D37" s="110">
        <f>Projeções!H183+Projeções!H190</f>
        <v>0</v>
      </c>
      <c r="E37" s="110">
        <f>Projeções!I183+Projeções!I190</f>
        <v>0</v>
      </c>
    </row>
    <row r="38" spans="1:5" s="78" customFormat="1" ht="12.75" customHeight="1">
      <c r="A38" s="115" t="str">
        <f>Projeções!B196</f>
        <v>Amortização da Dívida</v>
      </c>
      <c r="B38" s="110">
        <f>Projeções!F197</f>
        <v>0</v>
      </c>
      <c r="C38" s="110">
        <f>Projeções!G197</f>
        <v>0</v>
      </c>
      <c r="D38" s="110">
        <f>Projeções!H197</f>
        <v>0</v>
      </c>
      <c r="E38" s="110">
        <f>Projeções!I197</f>
        <v>0</v>
      </c>
    </row>
    <row r="39" spans="1:5" s="78" customFormat="1" ht="12.75" customHeight="1">
      <c r="A39" s="116" t="s">
        <v>379</v>
      </c>
      <c r="B39" s="111">
        <f>B31+B32+B33+B34+B35+B36+B37+B38</f>
        <v>852009.0620187</v>
      </c>
      <c r="C39" s="111">
        <f>C31+C32+C33+C34+C35+C36+C37+C38</f>
        <v>866302.6908027397</v>
      </c>
      <c r="D39" s="111">
        <f>D31+D32+D33+D34+D35+D36+D37+D38</f>
        <v>903037.7427580823</v>
      </c>
      <c r="E39" s="111">
        <f>E31+E32+E33+E34+E35+E36+E37+E38</f>
        <v>946918.8537310353</v>
      </c>
    </row>
    <row r="40" spans="1:5" s="78" customFormat="1" ht="12.75" customHeight="1">
      <c r="A40" s="117" t="s">
        <v>376</v>
      </c>
      <c r="B40" s="112">
        <f>B26-B39</f>
        <v>-852009.0620187</v>
      </c>
      <c r="C40" s="112">
        <f>C26-C39</f>
        <v>-866302.6908027397</v>
      </c>
      <c r="D40" s="112">
        <f>D26-D39</f>
        <v>-903037.7427580823</v>
      </c>
      <c r="E40" s="112">
        <f>E26-E39</f>
        <v>-946918.8537310353</v>
      </c>
    </row>
    <row r="41" spans="1:5" ht="12.75" customHeight="1">
      <c r="A41" s="77"/>
      <c r="B41" s="77"/>
      <c r="C41" s="77"/>
      <c r="D41" s="77"/>
      <c r="E41" s="77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sheetProtection/>
  <mergeCells count="10">
    <mergeCell ref="A1:E1"/>
    <mergeCell ref="A2:E2"/>
    <mergeCell ref="A3:E3"/>
    <mergeCell ref="A5:A6"/>
    <mergeCell ref="B5:E5"/>
    <mergeCell ref="A4:E4"/>
    <mergeCell ref="B6:B7"/>
    <mergeCell ref="C6:C7"/>
    <mergeCell ref="D6:D7"/>
    <mergeCell ref="E6:E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23">
      <selection activeCell="A1" sqref="A1:E37"/>
    </sheetView>
  </sheetViews>
  <sheetFormatPr defaultColWidth="9.140625" defaultRowHeight="12.75"/>
  <cols>
    <col min="1" max="1" width="80.421875" style="75" customWidth="1"/>
    <col min="2" max="2" width="15.7109375" style="75" customWidth="1"/>
    <col min="3" max="3" width="16.00390625" style="75" customWidth="1"/>
    <col min="4" max="4" width="16.140625" style="119" customWidth="1"/>
    <col min="5" max="5" width="16.140625" style="75" customWidth="1"/>
    <col min="6" max="16384" width="9.140625" style="75" customWidth="1"/>
  </cols>
  <sheetData>
    <row r="1" spans="1:5" s="73" customFormat="1" ht="12.75" customHeight="1">
      <c r="A1" s="269" t="str">
        <f>Parâmetros!A7</f>
        <v>Município de :  TAVARES</v>
      </c>
      <c r="B1" s="248"/>
      <c r="C1" s="248"/>
      <c r="D1" s="248"/>
      <c r="E1" s="248"/>
    </row>
    <row r="2" spans="1:5" s="73" customFormat="1" ht="12.75" customHeight="1">
      <c r="A2" s="269" t="s">
        <v>365</v>
      </c>
      <c r="B2" s="248"/>
      <c r="C2" s="248"/>
      <c r="D2" s="248"/>
      <c r="E2" s="248"/>
    </row>
    <row r="3" spans="1:5" ht="12.75" customHeight="1">
      <c r="A3" s="280" t="s">
        <v>436</v>
      </c>
      <c r="B3" s="281"/>
      <c r="C3" s="281"/>
      <c r="D3" s="281"/>
      <c r="E3" s="281"/>
    </row>
    <row r="4" spans="1:5" ht="12.75" customHeight="1">
      <c r="A4" s="123"/>
      <c r="B4" s="123"/>
      <c r="C4" s="123"/>
      <c r="D4" s="89"/>
      <c r="E4" s="124"/>
    </row>
    <row r="5" spans="1:5" ht="12.75" customHeight="1">
      <c r="A5" s="125" t="s">
        <v>380</v>
      </c>
      <c r="B5" s="282"/>
      <c r="C5" s="282"/>
      <c r="D5" s="282"/>
      <c r="E5" s="282"/>
    </row>
    <row r="6" spans="1:5" ht="12.75" customHeight="1">
      <c r="A6" s="144" t="s">
        <v>381</v>
      </c>
      <c r="B6" s="143">
        <f>Parâmetros!C10</f>
        <v>2022</v>
      </c>
      <c r="C6" s="131">
        <f>B6+1</f>
        <v>2023</v>
      </c>
      <c r="D6" s="131">
        <f>C6+1</f>
        <v>2024</v>
      </c>
      <c r="E6" s="131">
        <f>D6+1</f>
        <v>2025</v>
      </c>
    </row>
    <row r="7" spans="1:5" ht="12.75" customHeight="1">
      <c r="A7" s="145" t="s">
        <v>389</v>
      </c>
      <c r="B7" s="142">
        <f>Projeções!F10+Projeções!F11+Projeções!F12</f>
        <v>1577262.6690597003</v>
      </c>
      <c r="C7" s="133">
        <f>Projeções!G10+Projeções!G11+Projeções!G12</f>
        <v>1828254.2540137363</v>
      </c>
      <c r="D7" s="133">
        <f>Projeções!H10+Projeções!H11+Projeções!H12</f>
        <v>2173906.038391048</v>
      </c>
      <c r="E7" s="134">
        <f>Projeções!I10+Projeções!I11+Projeções!I12</f>
        <v>2015482.8534846231</v>
      </c>
    </row>
    <row r="8" spans="1:5" ht="12.75" customHeight="1">
      <c r="A8" s="145" t="s">
        <v>390</v>
      </c>
      <c r="B8" s="142">
        <f>Projeções!F44+Projeções!F45+Projeções!F46+Projeções!F47+Projeções!F52</f>
        <v>9484390.704933334</v>
      </c>
      <c r="C8" s="133">
        <f>Projeções!G44+Projeções!G45+Projeções!G46+Projeções!G47+Projeções!G52</f>
        <v>9655617.38179289</v>
      </c>
      <c r="D8" s="133">
        <f>Projeções!H44+Projeções!H45+Projeções!H46+Projeções!H47+Projeções!H52</f>
        <v>10031966.21759902</v>
      </c>
      <c r="E8" s="134">
        <f>Projeções!I44+Projeções!I45+Projeções!I46+Projeções!I47+Projeções!I52</f>
        <v>10404670.835209336</v>
      </c>
    </row>
    <row r="9" spans="1:5" ht="12.75" customHeight="1">
      <c r="A9" s="145" t="s">
        <v>391</v>
      </c>
      <c r="B9" s="142">
        <f>Projeções!F59+Projeções!F60+Projeções!F61</f>
        <v>6505106.7014666675</v>
      </c>
      <c r="C9" s="133">
        <f>Projeções!G59+Projeções!G60+Projeções!G61</f>
        <v>6745533.269523112</v>
      </c>
      <c r="D9" s="133">
        <f>Projeções!H59+Projeções!H60+Projeções!H61</f>
        <v>6955228.25631969</v>
      </c>
      <c r="E9" s="134">
        <f>Projeções!I59+Projeções!I60+Projeções!I61</f>
        <v>7206759.667740379</v>
      </c>
    </row>
    <row r="10" spans="1:5" ht="12.75" customHeight="1">
      <c r="A10" s="149" t="s">
        <v>397</v>
      </c>
      <c r="B10" s="128">
        <f>B7+B8+B9</f>
        <v>17566760.075459704</v>
      </c>
      <c r="C10" s="130">
        <f>C7+C8+C9</f>
        <v>18229404.905329738</v>
      </c>
      <c r="D10" s="130">
        <f>D7+D8+D9</f>
        <v>19161100.512309756</v>
      </c>
      <c r="E10" s="129">
        <f>E7+E8+E9</f>
        <v>19626913.356434338</v>
      </c>
    </row>
    <row r="11" spans="1:5" ht="12.75" customHeight="1">
      <c r="A11" s="146"/>
      <c r="B11" s="128"/>
      <c r="C11" s="130"/>
      <c r="D11" s="130"/>
      <c r="E11" s="129"/>
    </row>
    <row r="12" spans="1:5" ht="12.75" customHeight="1">
      <c r="A12" s="114" t="s">
        <v>399</v>
      </c>
      <c r="B12" s="132">
        <f>B10*25%</f>
        <v>4391690.018864926</v>
      </c>
      <c r="C12" s="132">
        <f>C10*25%</f>
        <v>4557351.226332434</v>
      </c>
      <c r="D12" s="132">
        <f>D10*25%</f>
        <v>4790275.128077439</v>
      </c>
      <c r="E12" s="132">
        <f>E10*25%</f>
        <v>4906728.339108584</v>
      </c>
    </row>
    <row r="13" spans="1:5" ht="12.75" customHeight="1">
      <c r="A13" s="147"/>
      <c r="B13" s="128"/>
      <c r="C13" s="130"/>
      <c r="D13" s="130"/>
      <c r="E13" s="129"/>
    </row>
    <row r="14" spans="1:5" ht="12.75" customHeight="1">
      <c r="A14" s="145" t="s">
        <v>392</v>
      </c>
      <c r="B14" s="127">
        <f>Projeções!F74</f>
        <v>2431568.8641900006</v>
      </c>
      <c r="C14" s="135">
        <f>Projeções!G74</f>
        <v>2484811.58508951</v>
      </c>
      <c r="D14" s="135">
        <f>Projeções!H74</f>
        <v>2514125.51259708</v>
      </c>
      <c r="E14" s="136">
        <f>Projeções!I74</f>
        <v>2556341.73441761</v>
      </c>
    </row>
    <row r="15" spans="1:5" ht="12.75" customHeight="1">
      <c r="A15" s="145" t="s">
        <v>408</v>
      </c>
      <c r="B15" s="127">
        <f>Projeções!F125</f>
        <v>-3046465.419366667</v>
      </c>
      <c r="C15" s="135">
        <f>Projeções!G125</f>
        <v>-3124452.7571941116</v>
      </c>
      <c r="D15" s="135">
        <f>Projeções!H125</f>
        <v>-3235294.1496400107</v>
      </c>
      <c r="E15" s="136">
        <f>Projeções!I125</f>
        <v>-3354882.3963449486</v>
      </c>
    </row>
    <row r="16" spans="1:5" ht="12.75" customHeight="1">
      <c r="A16" s="148" t="s">
        <v>393</v>
      </c>
      <c r="B16" s="128">
        <f>B14+B15</f>
        <v>-614896.5551766665</v>
      </c>
      <c r="C16" s="130">
        <f>C14+C15</f>
        <v>-639641.1721046017</v>
      </c>
      <c r="D16" s="130">
        <f>D14+D15</f>
        <v>-721168.6370429308</v>
      </c>
      <c r="E16" s="129">
        <f>E14+E15</f>
        <v>-798540.6619273387</v>
      </c>
    </row>
    <row r="17" spans="1:5" ht="12.75" customHeight="1">
      <c r="A17" s="126"/>
      <c r="B17" s="139"/>
      <c r="C17" s="139"/>
      <c r="D17" s="139"/>
      <c r="E17" s="138"/>
    </row>
    <row r="18" spans="1:6" ht="12.75" customHeight="1">
      <c r="A18" s="137" t="s">
        <v>407</v>
      </c>
      <c r="B18" s="135">
        <f>Projeções!F26</f>
        <v>5033.7834</v>
      </c>
      <c r="C18" s="135">
        <f>Projeções!G26</f>
        <v>4315.723283073334</v>
      </c>
      <c r="D18" s="135">
        <f>Projeções!H26</f>
        <v>5031.191629645534</v>
      </c>
      <c r="E18" s="136">
        <f>Projeções!I26</f>
        <v>4947.439576185715</v>
      </c>
      <c r="F18" s="118"/>
    </row>
    <row r="19" spans="1:5" ht="12.75" customHeight="1">
      <c r="A19" s="137" t="s">
        <v>385</v>
      </c>
      <c r="B19" s="135">
        <f>Projeções!F51</f>
        <v>284251.84051500005</v>
      </c>
      <c r="C19" s="135">
        <f>Projeções!G51</f>
        <v>291690.9598213832</v>
      </c>
      <c r="D19" s="135">
        <f>Projeções!H51</f>
        <v>303176.32475574943</v>
      </c>
      <c r="E19" s="136">
        <f>Projeções!I51</f>
        <v>302446.2830025301</v>
      </c>
    </row>
    <row r="20" spans="1:5" ht="12.75" customHeight="1">
      <c r="A20" s="137" t="s">
        <v>382</v>
      </c>
      <c r="B20" s="135">
        <f>Projeções!F54+Projeções!F68</f>
        <v>276118.015869</v>
      </c>
      <c r="C20" s="135">
        <f>Projeções!G54+Projeções!G68</f>
        <v>257611.7460304793</v>
      </c>
      <c r="D20" s="135">
        <f>Projeções!H54+Projeções!H68</f>
        <v>287918.43578961084</v>
      </c>
      <c r="E20" s="136">
        <f>Projeções!I54+Projeções!I68</f>
        <v>282674.3682783033</v>
      </c>
    </row>
    <row r="21" spans="1:5" ht="12.75" customHeight="1">
      <c r="A21" s="137" t="s">
        <v>383</v>
      </c>
      <c r="B21" s="135">
        <f>Projeções!F101+Projeções!F107</f>
        <v>10430.65</v>
      </c>
      <c r="C21" s="135">
        <f>Projeções!G101+Projeções!G107</f>
        <v>5643.533333333333</v>
      </c>
      <c r="D21" s="135">
        <f>Projeções!H101+Projeções!H107</f>
        <v>5358.061111111111</v>
      </c>
      <c r="E21" s="136">
        <f>Projeções!I101+Projeções!I107</f>
        <v>7144.081481481481</v>
      </c>
    </row>
    <row r="22" spans="1:5" ht="12.75" customHeight="1">
      <c r="A22" s="137" t="s">
        <v>384</v>
      </c>
      <c r="B22" s="135">
        <f>Projeções!F99+Projeções!F105</f>
        <v>0</v>
      </c>
      <c r="C22" s="135">
        <f>Projeções!G99+Projeções!G105</f>
        <v>0</v>
      </c>
      <c r="D22" s="135">
        <f>Projeções!H99+Projeções!H105</f>
        <v>0</v>
      </c>
      <c r="E22" s="136">
        <f>Projeções!I99+Projeções!I105</f>
        <v>0</v>
      </c>
    </row>
    <row r="23" spans="1:5" ht="12.75" customHeight="1">
      <c r="A23" s="126"/>
      <c r="B23" s="135"/>
      <c r="C23" s="135"/>
      <c r="D23" s="135"/>
      <c r="E23" s="136"/>
    </row>
    <row r="24" spans="1:5" ht="12.75" customHeight="1">
      <c r="A24" s="140" t="s">
        <v>386</v>
      </c>
      <c r="B24" s="141">
        <f>B12+B14+B18+B19+B20+B21+B22+B16</f>
        <v>6784196.61766226</v>
      </c>
      <c r="C24" s="141">
        <f>C12+C14+C18+C19+C20+C21+C22+C16</f>
        <v>6961783.601785611</v>
      </c>
      <c r="D24" s="141">
        <f>D12+D14+D18+D19+D20+D21+D22+D16</f>
        <v>7184716.016917706</v>
      </c>
      <c r="E24" s="141">
        <f>E12+E14+E18+E19+E20+E21+E22+E16</f>
        <v>7261741.583937356</v>
      </c>
    </row>
    <row r="25" spans="1:5" ht="12.75" customHeight="1">
      <c r="A25" s="126"/>
      <c r="B25" s="127"/>
      <c r="C25" s="127"/>
      <c r="D25" s="127"/>
      <c r="E25" s="127"/>
    </row>
    <row r="26" spans="1:5" ht="12.75" customHeight="1">
      <c r="A26" s="108" t="s">
        <v>387</v>
      </c>
      <c r="B26" s="113">
        <f>B6</f>
        <v>2022</v>
      </c>
      <c r="C26" s="113">
        <f>B26+1</f>
        <v>2023</v>
      </c>
      <c r="D26" s="113">
        <f>C26+1</f>
        <v>2024</v>
      </c>
      <c r="E26" s="113">
        <f>D26+1</f>
        <v>2025</v>
      </c>
    </row>
    <row r="27" spans="1:5" ht="12.75" customHeight="1">
      <c r="A27" s="120"/>
      <c r="B27" s="121"/>
      <c r="C27" s="121"/>
      <c r="D27" s="121"/>
      <c r="E27" s="121"/>
    </row>
    <row r="28" spans="1:5" ht="12.75" customHeight="1">
      <c r="A28" s="115" t="str">
        <f>Projeções!B143</f>
        <v>Pessoal e Encargos Sociais - Educação</v>
      </c>
      <c r="B28" s="122">
        <f>Projeções!F143</f>
        <v>3347429.35522905</v>
      </c>
      <c r="C28" s="122">
        <f>Projeções!G143</f>
        <v>3525584.080653663</v>
      </c>
      <c r="D28" s="122">
        <f>Projeções!H143</f>
        <v>3673212.136951604</v>
      </c>
      <c r="E28" s="122">
        <f>Projeções!I143</f>
        <v>3809665.7948028045</v>
      </c>
    </row>
    <row r="29" spans="1:5" ht="12.75" customHeight="1">
      <c r="A29" s="115" t="str">
        <f>Projeções!B150</f>
        <v>Juros e Encargos da Dívida - Educação</v>
      </c>
      <c r="B29" s="110">
        <f>Projeções!F150</f>
        <v>0</v>
      </c>
      <c r="C29" s="110">
        <f>Projeções!G150</f>
        <v>0</v>
      </c>
      <c r="D29" s="110">
        <f>Projeções!H150</f>
        <v>0</v>
      </c>
      <c r="E29" s="110">
        <f>Projeções!I150</f>
        <v>0</v>
      </c>
    </row>
    <row r="30" spans="1:5" ht="12.75" customHeight="1">
      <c r="A30" s="115" t="str">
        <f>Projeções!B157</f>
        <v>Outros Benef.Assistênciais - Educação</v>
      </c>
      <c r="B30" s="110">
        <f>Projeções!F157</f>
        <v>113788.20449430001</v>
      </c>
      <c r="C30" s="110">
        <f>Projeções!G157</f>
        <v>122275.9730286361</v>
      </c>
      <c r="D30" s="110">
        <f>Projeções!H157</f>
        <v>129478.76915992446</v>
      </c>
      <c r="E30" s="110">
        <f>Projeções!I157</f>
        <v>132046.90634498314</v>
      </c>
    </row>
    <row r="31" spans="1:5" ht="12.75" customHeight="1">
      <c r="A31" s="115" t="str">
        <f>Projeções!B164</f>
        <v>Auxílio - Alimentação - Educação</v>
      </c>
      <c r="B31" s="110">
        <f>Projeções!F164</f>
        <v>82728.26887500001</v>
      </c>
      <c r="C31" s="110">
        <f>Projeções!G164</f>
        <v>106157.77435498814</v>
      </c>
      <c r="D31" s="110">
        <f>Projeções!H164</f>
        <v>108639.37084921087</v>
      </c>
      <c r="E31" s="110">
        <f>Projeções!I164</f>
        <v>107476.59295489946</v>
      </c>
    </row>
    <row r="32" spans="1:5" ht="12.75" customHeight="1">
      <c r="A32" s="115" t="str">
        <f>Projeções!B171</f>
        <v>Obrigações Tributárias e Contributivas - Educação</v>
      </c>
      <c r="B32" s="110">
        <f>Projeções!F171</f>
        <v>457.86780000000005</v>
      </c>
      <c r="C32" s="110">
        <f>Projeções!G171</f>
        <v>192.14826591333335</v>
      </c>
      <c r="D32" s="110">
        <f>Projeções!H171</f>
        <v>258.080528280778</v>
      </c>
      <c r="E32" s="110">
        <f>Projeções!I171</f>
        <v>312.41549828924747</v>
      </c>
    </row>
    <row r="33" spans="1:5" ht="12.75" customHeight="1">
      <c r="A33" s="115" t="str">
        <f>Projeções!B178</f>
        <v>Sentenças Judiciais - Educação</v>
      </c>
      <c r="B33" s="110">
        <f>Projeções!F178</f>
        <v>0</v>
      </c>
      <c r="C33" s="110">
        <f>Projeções!G178</f>
        <v>0</v>
      </c>
      <c r="D33" s="110">
        <f>Projeções!H178</f>
        <v>0</v>
      </c>
      <c r="E33" s="110">
        <f>Projeções!I178</f>
        <v>0</v>
      </c>
    </row>
    <row r="34" spans="1:5" ht="12.75" customHeight="1">
      <c r="A34" s="115" t="str">
        <f>Projeções!B185</f>
        <v>Indenizações e Restituições - Educação</v>
      </c>
      <c r="B34" s="110">
        <f>Projeções!F185+Projeções!F192</f>
        <v>0</v>
      </c>
      <c r="C34" s="110">
        <f>Projeções!G185+Projeções!G192</f>
        <v>0</v>
      </c>
      <c r="D34" s="110">
        <f>Projeções!H185+Projeções!H192</f>
        <v>0</v>
      </c>
      <c r="E34" s="110">
        <f>Projeções!I185+Projeções!I192</f>
        <v>0</v>
      </c>
    </row>
    <row r="35" spans="1:5" ht="12.75" customHeight="1">
      <c r="A35" s="115" t="str">
        <f>Projeções!B199</f>
        <v>Amortização da Dívida - Educação</v>
      </c>
      <c r="B35" s="110">
        <f>Projeções!F199</f>
        <v>0</v>
      </c>
      <c r="C35" s="110">
        <f>Projeções!G199</f>
        <v>0</v>
      </c>
      <c r="D35" s="110">
        <f>Projeções!H199</f>
        <v>0</v>
      </c>
      <c r="E35" s="110">
        <f>Projeções!I199</f>
        <v>0</v>
      </c>
    </row>
    <row r="36" spans="1:5" ht="12.75" customHeight="1">
      <c r="A36" s="116" t="s">
        <v>379</v>
      </c>
      <c r="B36" s="111">
        <f>SUM(B28:B35)</f>
        <v>3544403.69639835</v>
      </c>
      <c r="C36" s="111">
        <f>SUM(C28:C35)</f>
        <v>3754209.9763032002</v>
      </c>
      <c r="D36" s="111">
        <f>SUM(D28:D35)</f>
        <v>3911588.3574890196</v>
      </c>
      <c r="E36" s="111">
        <f>SUM(E28:E35)</f>
        <v>4049501.7096009767</v>
      </c>
    </row>
    <row r="37" spans="1:5" ht="12.75" customHeight="1">
      <c r="A37" s="117" t="s">
        <v>388</v>
      </c>
      <c r="B37" s="112">
        <f>B24-B36</f>
        <v>3239792.9212639104</v>
      </c>
      <c r="C37" s="112">
        <f>C24-C36</f>
        <v>3207573.625482411</v>
      </c>
      <c r="D37" s="112">
        <f>D24-D36</f>
        <v>3273127.659428686</v>
      </c>
      <c r="E37" s="112">
        <f>E24-E36</f>
        <v>3212239.8743363796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4">
    <mergeCell ref="A1:E1"/>
    <mergeCell ref="A2:E2"/>
    <mergeCell ref="A3:E3"/>
    <mergeCell ref="B5:E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25">
      <selection activeCell="A1" sqref="A1:E34"/>
    </sheetView>
  </sheetViews>
  <sheetFormatPr defaultColWidth="9.140625" defaultRowHeight="12.75"/>
  <cols>
    <col min="1" max="1" width="80.421875" style="75" customWidth="1"/>
    <col min="2" max="2" width="15.57421875" style="75" customWidth="1"/>
    <col min="3" max="3" width="15.8515625" style="75" customWidth="1"/>
    <col min="4" max="4" width="16.421875" style="119" customWidth="1"/>
    <col min="5" max="5" width="15.7109375" style="75" customWidth="1"/>
    <col min="6" max="16384" width="9.140625" style="75" customWidth="1"/>
  </cols>
  <sheetData>
    <row r="1" spans="1:5" s="73" customFormat="1" ht="12.75" customHeight="1">
      <c r="A1" s="269" t="str">
        <f>Parâmetros!A7</f>
        <v>Município de :  TAVARES</v>
      </c>
      <c r="B1" s="248"/>
      <c r="C1" s="248"/>
      <c r="D1" s="248"/>
      <c r="E1" s="248"/>
    </row>
    <row r="2" spans="1:5" s="73" customFormat="1" ht="12.75" customHeight="1">
      <c r="A2" s="269" t="s">
        <v>365</v>
      </c>
      <c r="B2" s="248"/>
      <c r="C2" s="248"/>
      <c r="D2" s="248"/>
      <c r="E2" s="248"/>
    </row>
    <row r="3" spans="1:5" ht="12.75" customHeight="1">
      <c r="A3" s="280" t="s">
        <v>439</v>
      </c>
      <c r="B3" s="281"/>
      <c r="C3" s="281"/>
      <c r="D3" s="281"/>
      <c r="E3" s="281"/>
    </row>
    <row r="4" spans="1:5" ht="12.75" customHeight="1">
      <c r="A4" s="123"/>
      <c r="B4" s="123"/>
      <c r="C4" s="123"/>
      <c r="D4" s="89"/>
      <c r="E4" s="124"/>
    </row>
    <row r="5" spans="1:5" ht="12.75" customHeight="1">
      <c r="A5" s="125" t="s">
        <v>380</v>
      </c>
      <c r="B5" s="282"/>
      <c r="C5" s="282"/>
      <c r="D5" s="282"/>
      <c r="E5" s="282"/>
    </row>
    <row r="6" spans="1:5" ht="12.75" customHeight="1">
      <c r="A6" s="144" t="s">
        <v>381</v>
      </c>
      <c r="B6" s="143">
        <f>Parâmetros!C10</f>
        <v>2022</v>
      </c>
      <c r="C6" s="131">
        <f>B6+1</f>
        <v>2023</v>
      </c>
      <c r="D6" s="131">
        <f>C6+1</f>
        <v>2024</v>
      </c>
      <c r="E6" s="131">
        <f>D6+1</f>
        <v>2025</v>
      </c>
    </row>
    <row r="7" spans="1:5" ht="12.75" customHeight="1">
      <c r="A7" s="145" t="s">
        <v>389</v>
      </c>
      <c r="B7" s="142">
        <f>Projeções!F10+Projeções!F11+Projeções!F12</f>
        <v>1577262.6690597003</v>
      </c>
      <c r="C7" s="133">
        <f>Projeções!G10+Projeções!G11+Projeções!G12</f>
        <v>1828254.2540137363</v>
      </c>
      <c r="D7" s="133">
        <f>Projeções!H10+Projeções!H11+Projeções!H12</f>
        <v>2173906.038391048</v>
      </c>
      <c r="E7" s="134">
        <f>Projeções!I10+Projeções!I11+Projeções!I12</f>
        <v>2015482.8534846231</v>
      </c>
    </row>
    <row r="8" spans="1:5" ht="12.75" customHeight="1">
      <c r="A8" s="145" t="s">
        <v>390</v>
      </c>
      <c r="B8" s="142">
        <f>Projeções!F44+Projeções!F45+Projeções!F46+Projeções!F47+Projeções!F52</f>
        <v>9484390.704933334</v>
      </c>
      <c r="C8" s="133">
        <f>Projeções!G44+Projeções!G45+Projeções!G46+Projeções!G47+Projeções!G52</f>
        <v>9655617.38179289</v>
      </c>
      <c r="D8" s="133">
        <f>Projeções!H44+Projeções!H45+Projeções!H46+Projeções!H47+Projeções!H52</f>
        <v>10031966.21759902</v>
      </c>
      <c r="E8" s="134">
        <f>Projeções!I44+Projeções!I45+Projeções!I46+Projeções!I47+Projeções!I52</f>
        <v>10404670.835209336</v>
      </c>
    </row>
    <row r="9" spans="1:5" ht="12.75" customHeight="1">
      <c r="A9" s="145" t="s">
        <v>391</v>
      </c>
      <c r="B9" s="142">
        <f>Projeções!F59+Projeções!F60+Projeções!F61</f>
        <v>6505106.7014666675</v>
      </c>
      <c r="C9" s="133">
        <f>Projeções!G59+Projeções!G60+Projeções!G61</f>
        <v>6745533.269523112</v>
      </c>
      <c r="D9" s="133">
        <f>Projeções!H59+Projeções!H60+Projeções!H61</f>
        <v>6955228.25631969</v>
      </c>
      <c r="E9" s="134">
        <f>Projeções!I59+Projeções!I60+Projeções!I61</f>
        <v>7206759.667740379</v>
      </c>
    </row>
    <row r="10" spans="1:5" ht="12.75" customHeight="1">
      <c r="A10" s="149" t="s">
        <v>396</v>
      </c>
      <c r="B10" s="128">
        <f>B7+B8+B9</f>
        <v>17566760.075459704</v>
      </c>
      <c r="C10" s="130">
        <f>C7+C8+C9</f>
        <v>18229404.905329738</v>
      </c>
      <c r="D10" s="130">
        <f>D7+D8+D9</f>
        <v>19161100.512309756</v>
      </c>
      <c r="E10" s="129">
        <f>E7+E8+E9</f>
        <v>19626913.356434338</v>
      </c>
    </row>
    <row r="11" spans="1:5" ht="12.75" customHeight="1">
      <c r="A11" s="146"/>
      <c r="B11" s="128"/>
      <c r="C11" s="130"/>
      <c r="D11" s="130"/>
      <c r="E11" s="129"/>
    </row>
    <row r="12" spans="1:5" ht="12.75" customHeight="1">
      <c r="A12" s="114" t="s">
        <v>398</v>
      </c>
      <c r="B12" s="132">
        <f>B10*15%</f>
        <v>2635014.0113189556</v>
      </c>
      <c r="C12" s="132">
        <f>C10*15%</f>
        <v>2734410.7357994607</v>
      </c>
      <c r="D12" s="132">
        <f>D10*15%</f>
        <v>2874165.076846463</v>
      </c>
      <c r="E12" s="132">
        <f>E10*15%</f>
        <v>2944037.0034651505</v>
      </c>
    </row>
    <row r="13" spans="1:5" ht="12.75" customHeight="1">
      <c r="A13" s="147"/>
      <c r="B13" s="128"/>
      <c r="C13" s="130"/>
      <c r="D13" s="130"/>
      <c r="E13" s="150"/>
    </row>
    <row r="14" spans="1:6" ht="12.75" customHeight="1">
      <c r="A14" s="137" t="s">
        <v>410</v>
      </c>
      <c r="B14" s="135">
        <f>Projeções!F27</f>
        <v>7279.469574000001</v>
      </c>
      <c r="C14" s="135">
        <f>Projeções!G27</f>
        <v>6673.7228982714005</v>
      </c>
      <c r="D14" s="135">
        <f>Projeções!H27</f>
        <v>8008.305529708589</v>
      </c>
      <c r="E14" s="136">
        <f>Projeções!I27</f>
        <v>7555.487362614517</v>
      </c>
      <c r="F14" s="118"/>
    </row>
    <row r="15" spans="1:5" ht="12.75" customHeight="1">
      <c r="A15" s="137" t="s">
        <v>400</v>
      </c>
      <c r="B15" s="135">
        <f>Projeções!F49</f>
        <v>1035227.73543</v>
      </c>
      <c r="C15" s="135">
        <f>Projeções!G49</f>
        <v>1070413.7578359398</v>
      </c>
      <c r="D15" s="135">
        <f>Projeções!H49</f>
        <v>982970.3378328099</v>
      </c>
      <c r="E15" s="136">
        <f>Projeções!I49</f>
        <v>1062585.4236256732</v>
      </c>
    </row>
    <row r="16" spans="1:5" ht="12.75" customHeight="1">
      <c r="A16" s="137" t="s">
        <v>403</v>
      </c>
      <c r="B16" s="135">
        <f>Projeções!F65</f>
        <v>412765.238856</v>
      </c>
      <c r="C16" s="135">
        <f>Projeções!G65</f>
        <v>427600.01961196837</v>
      </c>
      <c r="D16" s="135">
        <f>Projeções!H65</f>
        <v>422646.0754388279</v>
      </c>
      <c r="E16" s="136">
        <f>Projeções!I65</f>
        <v>434517.99924173485</v>
      </c>
    </row>
    <row r="17" spans="1:5" ht="12.75" customHeight="1">
      <c r="A17" s="137" t="s">
        <v>382</v>
      </c>
      <c r="B17" s="135">
        <f>Projeções!F53+Projeções!F67</f>
        <v>0</v>
      </c>
      <c r="C17" s="135">
        <f>Projeções!G53+Projeções!G67</f>
        <v>0</v>
      </c>
      <c r="D17" s="135">
        <f>Projeções!H53+Projeções!H67</f>
        <v>0</v>
      </c>
      <c r="E17" s="136">
        <f>Projeções!I53+Projeções!I67</f>
        <v>0</v>
      </c>
    </row>
    <row r="18" spans="1:5" ht="12.75" customHeight="1">
      <c r="A18" s="137" t="s">
        <v>383</v>
      </c>
      <c r="B18" s="135">
        <f>Projeções!F100+Projeções!F106</f>
        <v>0</v>
      </c>
      <c r="C18" s="135">
        <f>Projeções!G100+Projeções!G106</f>
        <v>0</v>
      </c>
      <c r="D18" s="135">
        <f>Projeções!H100+Projeções!H106</f>
        <v>0</v>
      </c>
      <c r="E18" s="136">
        <f>Projeções!I100+Projeções!I106</f>
        <v>0</v>
      </c>
    </row>
    <row r="19" spans="1:5" ht="12.75" customHeight="1">
      <c r="A19" s="137" t="s">
        <v>402</v>
      </c>
      <c r="B19" s="135">
        <f>Projeções!F98+Projeções!F104</f>
        <v>117350.75333333334</v>
      </c>
      <c r="C19" s="135">
        <f>Projeções!G98+Projeções!G104</f>
        <v>110685.40777777777</v>
      </c>
      <c r="D19" s="135">
        <f>Projeções!H98+Projeções!H104</f>
        <v>76012.0537037037</v>
      </c>
      <c r="E19" s="136">
        <f>Projeções!I98+Projeções!I104</f>
        <v>101349.4049382716</v>
      </c>
    </row>
    <row r="20" spans="1:5" ht="12.75" customHeight="1">
      <c r="A20" s="126"/>
      <c r="B20" s="135"/>
      <c r="C20" s="135"/>
      <c r="D20" s="135"/>
      <c r="E20" s="151"/>
    </row>
    <row r="21" spans="1:5" ht="12.75" customHeight="1">
      <c r="A21" s="140" t="s">
        <v>401</v>
      </c>
      <c r="B21" s="141">
        <f>B12+B14+B15+B16+B17+B18+B19</f>
        <v>4207637.2085122885</v>
      </c>
      <c r="C21" s="141">
        <f>C12+C14+C15+C16+C17+C18+C19</f>
        <v>4349783.643923419</v>
      </c>
      <c r="D21" s="141">
        <f>D12+D14+D15+D16+D17+D18+D19</f>
        <v>4363801.849351513</v>
      </c>
      <c r="E21" s="141">
        <f>E12+E14+E15+E16+E17+E18+E19</f>
        <v>4550045.318633445</v>
      </c>
    </row>
    <row r="22" spans="1:5" ht="12.75" customHeight="1">
      <c r="A22" s="126"/>
      <c r="B22" s="127"/>
      <c r="C22" s="127"/>
      <c r="D22" s="127"/>
      <c r="E22" s="127"/>
    </row>
    <row r="23" spans="1:5" ht="12.75" customHeight="1">
      <c r="A23" s="108" t="s">
        <v>387</v>
      </c>
      <c r="B23" s="113">
        <f>B6</f>
        <v>2022</v>
      </c>
      <c r="C23" s="113">
        <f>B23+1</f>
        <v>2023</v>
      </c>
      <c r="D23" s="113">
        <f>C23+1</f>
        <v>2024</v>
      </c>
      <c r="E23" s="113">
        <f>D23+1</f>
        <v>2025</v>
      </c>
    </row>
    <row r="24" spans="1:5" ht="12.75" customHeight="1">
      <c r="A24" s="120"/>
      <c r="B24" s="121"/>
      <c r="C24" s="121"/>
      <c r="D24" s="121"/>
      <c r="E24" s="121"/>
    </row>
    <row r="25" spans="1:5" ht="12.75" customHeight="1">
      <c r="A25" s="115" t="str">
        <f>Projeções!B142</f>
        <v>Pessoal e Encargos Sociais - Saúde</v>
      </c>
      <c r="B25" s="122">
        <f>Projeções!F142</f>
        <v>3373909.3697683504</v>
      </c>
      <c r="C25" s="122">
        <f>Projeções!G142</f>
        <v>3537669.3302193736</v>
      </c>
      <c r="D25" s="122">
        <f>Projeções!H142</f>
        <v>3615069.6877194643</v>
      </c>
      <c r="E25" s="122">
        <f>Projeções!I142</f>
        <v>3802593.830333406</v>
      </c>
    </row>
    <row r="26" spans="1:5" ht="12.75" customHeight="1">
      <c r="A26" s="115" t="str">
        <f>Projeções!B149</f>
        <v>Juros e Encargos da Dívida - Saúde</v>
      </c>
      <c r="B26" s="110">
        <f>Projeções!F149</f>
        <v>0</v>
      </c>
      <c r="C26" s="110">
        <f>Projeções!G149</f>
        <v>0</v>
      </c>
      <c r="D26" s="110">
        <f>Projeções!H149</f>
        <v>0</v>
      </c>
      <c r="E26" s="110">
        <f>Projeções!I149</f>
        <v>0</v>
      </c>
    </row>
    <row r="27" spans="1:5" ht="12.75" customHeight="1">
      <c r="A27" s="115" t="str">
        <f>Projeções!B156</f>
        <v>Outros Benef.Assistênciais - Saúde</v>
      </c>
      <c r="B27" s="110">
        <f>Projeções!F156</f>
        <v>101754.2950767</v>
      </c>
      <c r="C27" s="110">
        <f>Projeções!G156</f>
        <v>107758.20123626394</v>
      </c>
      <c r="D27" s="110">
        <f>Projeções!H156</f>
        <v>111828.41248035542</v>
      </c>
      <c r="E27" s="110">
        <f>Projeções!I156</f>
        <v>116079.58318795473</v>
      </c>
    </row>
    <row r="28" spans="1:5" ht="12.75" customHeight="1">
      <c r="A28" s="115" t="str">
        <f>Projeções!B163</f>
        <v>Auxílio - Alimentação - Saúde</v>
      </c>
      <c r="B28" s="110">
        <f>Projeções!F163</f>
        <v>75148.84755</v>
      </c>
      <c r="C28" s="110">
        <f>Projeções!G163</f>
        <v>94283.04171069527</v>
      </c>
      <c r="D28" s="110">
        <f>Projeções!H163</f>
        <v>94817.9537493355</v>
      </c>
      <c r="E28" s="110">
        <f>Projeções!I163</f>
        <v>95456.29203972846</v>
      </c>
    </row>
    <row r="29" spans="1:5" ht="12.75" customHeight="1">
      <c r="A29" s="115" t="str">
        <f>Projeções!B170</f>
        <v>Obrigações Tributárias e Contributivas - Saúde</v>
      </c>
      <c r="B29" s="110">
        <f>Projeções!F170</f>
        <v>148751.859513</v>
      </c>
      <c r="C29" s="110">
        <f>Projeções!G170</f>
        <v>140521.43240326096</v>
      </c>
      <c r="D29" s="110">
        <f>Projeções!H170</f>
        <v>140830.9397483854</v>
      </c>
      <c r="E29" s="110">
        <f>Projeções!I170</f>
        <v>147970.1925003605</v>
      </c>
    </row>
    <row r="30" spans="1:5" ht="12.75" customHeight="1">
      <c r="A30" s="115" t="str">
        <f>Projeções!B177</f>
        <v>Sentenças Judiciais - Saúde</v>
      </c>
      <c r="B30" s="110">
        <f>Projeções!F177</f>
        <v>0</v>
      </c>
      <c r="C30" s="110">
        <f>Projeções!G177</f>
        <v>0</v>
      </c>
      <c r="D30" s="110">
        <f>Projeções!H177</f>
        <v>0</v>
      </c>
      <c r="E30" s="110">
        <f>Projeções!I177</f>
        <v>0</v>
      </c>
    </row>
    <row r="31" spans="1:5" ht="12.75" customHeight="1">
      <c r="A31" s="115" t="str">
        <f>Projeções!B184</f>
        <v>Indenizações e Restituições - Saúde</v>
      </c>
      <c r="B31" s="110">
        <f>Projeções!F184+Projeções!F191</f>
        <v>9461.220000000001</v>
      </c>
      <c r="C31" s="110">
        <f>Projeções!G184+Projeções!G191</f>
        <v>8149.7128753333345</v>
      </c>
      <c r="D31" s="110">
        <f>Projeções!H184+Projeções!H191</f>
        <v>6404.022002402201</v>
      </c>
      <c r="E31" s="110">
        <f>Projeções!I184+Projeções!I191</f>
        <v>8261.94497643695</v>
      </c>
    </row>
    <row r="32" spans="1:5" ht="12.75" customHeight="1">
      <c r="A32" s="115" t="str">
        <f>Projeções!B198</f>
        <v>Amortização da Dívida - Saúde</v>
      </c>
      <c r="B32" s="110">
        <f>Projeções!F198</f>
        <v>0</v>
      </c>
      <c r="C32" s="110">
        <f>Projeções!G198</f>
        <v>0</v>
      </c>
      <c r="D32" s="110">
        <f>Projeções!H198</f>
        <v>0</v>
      </c>
      <c r="E32" s="110">
        <f>Projeções!I198</f>
        <v>0</v>
      </c>
    </row>
    <row r="33" spans="1:5" ht="12.75" customHeight="1">
      <c r="A33" s="116" t="s">
        <v>379</v>
      </c>
      <c r="B33" s="111">
        <f>SUM(B25:B32)</f>
        <v>3709025.5919080507</v>
      </c>
      <c r="C33" s="111">
        <f>SUM(C25:C32)</f>
        <v>3888381.7184449267</v>
      </c>
      <c r="D33" s="111">
        <f>SUM(D25:D32)</f>
        <v>3968951.0156999426</v>
      </c>
      <c r="E33" s="111">
        <f>SUM(E25:E32)</f>
        <v>4170361.843037886</v>
      </c>
    </row>
    <row r="34" spans="1:5" ht="12.75" customHeight="1">
      <c r="A34" s="117" t="s">
        <v>404</v>
      </c>
      <c r="B34" s="112">
        <f>B21-B33</f>
        <v>498611.6166042378</v>
      </c>
      <c r="C34" s="112">
        <f>C21-C33</f>
        <v>461401.92547849193</v>
      </c>
      <c r="D34" s="112">
        <f>D21-D33</f>
        <v>394850.8336515706</v>
      </c>
      <c r="E34" s="112">
        <f>E21-E33</f>
        <v>379683.4755955585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4">
    <mergeCell ref="A1:E1"/>
    <mergeCell ref="A2:E2"/>
    <mergeCell ref="A3:E3"/>
    <mergeCell ref="B5:E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20">
      <selection activeCell="A1" sqref="A1:E26"/>
    </sheetView>
  </sheetViews>
  <sheetFormatPr defaultColWidth="9.140625" defaultRowHeight="12.75"/>
  <cols>
    <col min="1" max="1" width="82.28125" style="75" customWidth="1"/>
    <col min="2" max="3" width="13.7109375" style="75" customWidth="1"/>
    <col min="4" max="4" width="13.7109375" style="119" customWidth="1"/>
    <col min="5" max="5" width="13.7109375" style="75" customWidth="1"/>
    <col min="6" max="16384" width="9.140625" style="75" customWidth="1"/>
  </cols>
  <sheetData>
    <row r="1" spans="1:5" s="73" customFormat="1" ht="12.75" customHeight="1">
      <c r="A1" s="269" t="str">
        <f>Parâmetros!A7</f>
        <v>Município de :  TAVARES</v>
      </c>
      <c r="B1" s="248"/>
      <c r="C1" s="248"/>
      <c r="D1" s="248"/>
      <c r="E1" s="248"/>
    </row>
    <row r="2" spans="1:5" s="73" customFormat="1" ht="12.75" customHeight="1">
      <c r="A2" s="269" t="s">
        <v>365</v>
      </c>
      <c r="B2" s="248"/>
      <c r="C2" s="248"/>
      <c r="D2" s="248"/>
      <c r="E2" s="248"/>
    </row>
    <row r="3" spans="1:5" ht="12.75" customHeight="1">
      <c r="A3" s="280" t="s">
        <v>438</v>
      </c>
      <c r="B3" s="281"/>
      <c r="C3" s="281"/>
      <c r="D3" s="281"/>
      <c r="E3" s="281"/>
    </row>
    <row r="4" spans="1:5" ht="12.75" customHeight="1">
      <c r="A4" s="123"/>
      <c r="B4" s="123"/>
      <c r="C4" s="123"/>
      <c r="D4" s="89"/>
      <c r="E4" s="124"/>
    </row>
    <row r="5" spans="1:5" ht="12.75" customHeight="1">
      <c r="A5" s="125" t="s">
        <v>380</v>
      </c>
      <c r="B5" s="282"/>
      <c r="C5" s="282"/>
      <c r="D5" s="282"/>
      <c r="E5" s="282"/>
    </row>
    <row r="6" spans="1:5" ht="12.75" customHeight="1">
      <c r="A6" s="144" t="s">
        <v>381</v>
      </c>
      <c r="B6" s="143">
        <f>Parâmetros!C10</f>
        <v>2022</v>
      </c>
      <c r="C6" s="131">
        <f>B6+1</f>
        <v>2023</v>
      </c>
      <c r="D6" s="131">
        <f>C6+1</f>
        <v>2024</v>
      </c>
      <c r="E6" s="131">
        <f>D6+1</f>
        <v>2025</v>
      </c>
    </row>
    <row r="7" spans="1:6" ht="12.75" customHeight="1">
      <c r="A7" s="137" t="s">
        <v>411</v>
      </c>
      <c r="B7" s="135">
        <f>Projeções!F28</f>
        <v>1736.8624530000002</v>
      </c>
      <c r="C7" s="135">
        <f>Projeções!G28</f>
        <v>2130.892770894967</v>
      </c>
      <c r="D7" s="135">
        <f>Projeções!H28</f>
        <v>2569.654572542258</v>
      </c>
      <c r="E7" s="136">
        <f>Projeções!I28</f>
        <v>2214.6835503009534</v>
      </c>
      <c r="F7" s="118"/>
    </row>
    <row r="8" spans="1:5" ht="12.75" customHeight="1">
      <c r="A8" s="137" t="s">
        <v>412</v>
      </c>
      <c r="B8" s="135">
        <f>Projeções!F50</f>
        <v>256876.17336900003</v>
      </c>
      <c r="C8" s="135">
        <f>Projeções!G50</f>
        <v>258263.02038206262</v>
      </c>
      <c r="D8" s="135">
        <f>Projeções!H50</f>
        <v>251111.65260974067</v>
      </c>
      <c r="E8" s="136">
        <f>Projeções!I50</f>
        <v>263615.83284299506</v>
      </c>
    </row>
    <row r="9" spans="1:5" ht="12.75" customHeight="1">
      <c r="A9" s="137" t="s">
        <v>413</v>
      </c>
      <c r="B9" s="135">
        <f>Projeções!F66</f>
        <v>0</v>
      </c>
      <c r="C9" s="135">
        <f>Projeções!G66</f>
        <v>0</v>
      </c>
      <c r="D9" s="135">
        <f>Projeções!H66</f>
        <v>0</v>
      </c>
      <c r="E9" s="136">
        <f>Projeções!I66</f>
        <v>0</v>
      </c>
    </row>
    <row r="10" spans="1:5" ht="12.75" customHeight="1">
      <c r="A10" s="137" t="s">
        <v>382</v>
      </c>
      <c r="B10" s="135">
        <f>Projeções!F55+Projeções!F69</f>
        <v>0</v>
      </c>
      <c r="C10" s="135">
        <f>Projeções!G55+Projeções!G69</f>
        <v>0</v>
      </c>
      <c r="D10" s="135">
        <f>Projeções!H55+Projeções!H69</f>
        <v>0</v>
      </c>
      <c r="E10" s="136">
        <f>Projeções!I55+Projeções!I69</f>
        <v>0</v>
      </c>
    </row>
    <row r="11" spans="1:5" ht="12.75" customHeight="1">
      <c r="A11" s="137" t="s">
        <v>414</v>
      </c>
      <c r="B11" s="135">
        <f>Projeções!F103</f>
        <v>0</v>
      </c>
      <c r="C11" s="135">
        <f>Projeções!G103</f>
        <v>0</v>
      </c>
      <c r="D11" s="135">
        <f>Projeções!H103</f>
        <v>0</v>
      </c>
      <c r="E11" s="136">
        <f>Projeções!I103</f>
        <v>0</v>
      </c>
    </row>
    <row r="12" spans="1:5" ht="12.75" customHeight="1">
      <c r="A12" s="137" t="s">
        <v>417</v>
      </c>
      <c r="B12" s="135">
        <f>Projeções!F131</f>
        <v>614037.1213260001</v>
      </c>
      <c r="C12" s="135">
        <f>Projeções!G131</f>
        <v>651431.7615177187</v>
      </c>
      <c r="D12" s="135">
        <f>Projeções!H131</f>
        <v>651475.5499685236</v>
      </c>
      <c r="E12" s="136">
        <f>Projeções!I131</f>
        <v>659492.7830351718</v>
      </c>
    </row>
    <row r="13" spans="1:5" ht="12.75" customHeight="1">
      <c r="A13" s="152" t="s">
        <v>415</v>
      </c>
      <c r="B13" s="153">
        <f>B7+B8+B9+B10+B11+B12</f>
        <v>872650.1571480001</v>
      </c>
      <c r="C13" s="153">
        <f>C7+C8+C9+C10+C11+C12</f>
        <v>911825.6746706762</v>
      </c>
      <c r="D13" s="153">
        <f>D7+D8+D9+D10+D11+D12</f>
        <v>905156.8571508065</v>
      </c>
      <c r="E13" s="153">
        <f>E7+E8+E9+E10+E11+E12</f>
        <v>925323.2994284679</v>
      </c>
    </row>
    <row r="14" spans="1:5" ht="12.75" customHeight="1">
      <c r="A14" s="126"/>
      <c r="B14" s="127"/>
      <c r="C14" s="127"/>
      <c r="D14" s="127"/>
      <c r="E14" s="127"/>
    </row>
    <row r="15" spans="1:5" ht="12.75" customHeight="1">
      <c r="A15" s="108" t="s">
        <v>387</v>
      </c>
      <c r="B15" s="113">
        <f>B6</f>
        <v>2022</v>
      </c>
      <c r="C15" s="113">
        <f>B15+1</f>
        <v>2023</v>
      </c>
      <c r="D15" s="113">
        <f>C15+1</f>
        <v>2024</v>
      </c>
      <c r="E15" s="113">
        <f>D15+1</f>
        <v>2025</v>
      </c>
    </row>
    <row r="16" spans="1:5" ht="12.75" customHeight="1">
      <c r="A16" s="120"/>
      <c r="B16" s="121"/>
      <c r="C16" s="121"/>
      <c r="D16" s="121"/>
      <c r="E16" s="121"/>
    </row>
    <row r="17" spans="1:5" ht="12.75" customHeight="1">
      <c r="A17" s="115" t="str">
        <f>Projeções!B144</f>
        <v>Pessoal e Encargos Sociais - Assist. Social</v>
      </c>
      <c r="B17" s="122">
        <f>Projeções!F144</f>
        <v>448751.7836613001</v>
      </c>
      <c r="C17" s="122">
        <f>Projeções!G144</f>
        <v>469383.27738967753</v>
      </c>
      <c r="D17" s="122">
        <f>Projeções!H144</f>
        <v>489907.9309841235</v>
      </c>
      <c r="E17" s="122">
        <f>Projeções!I144</f>
        <v>508634.4102277998</v>
      </c>
    </row>
    <row r="18" spans="1:5" ht="12.75" customHeight="1">
      <c r="A18" s="115" t="str">
        <f>Projeções!B151</f>
        <v>Juros e Encargos da Dívida - Assist. Social</v>
      </c>
      <c r="B18" s="110">
        <f>Projeções!F151</f>
        <v>0</v>
      </c>
      <c r="C18" s="110">
        <f>Projeções!G151</f>
        <v>0</v>
      </c>
      <c r="D18" s="110">
        <f>Projeções!H151</f>
        <v>0</v>
      </c>
      <c r="E18" s="110">
        <f>Projeções!I151</f>
        <v>0</v>
      </c>
    </row>
    <row r="19" spans="1:5" ht="12.75" customHeight="1">
      <c r="A19" s="115" t="str">
        <f>Projeções!B158</f>
        <v>Outros Benef.Assistênciais - Assist. Social</v>
      </c>
      <c r="B19" s="110">
        <f>Projeções!F158</f>
        <v>9701.021181600001</v>
      </c>
      <c r="C19" s="110">
        <f>Projeções!G158</f>
        <v>10915.30889258155</v>
      </c>
      <c r="D19" s="110">
        <f>Projeções!H158</f>
        <v>11350.877137452166</v>
      </c>
      <c r="E19" s="110">
        <f>Projeções!I158</f>
        <v>11547.674097094505</v>
      </c>
    </row>
    <row r="20" spans="1:5" ht="12.75" customHeight="1">
      <c r="A20" s="115" t="str">
        <f>Projeções!B165</f>
        <v>Auxílio - Alimentação - Assist. Social</v>
      </c>
      <c r="B20" s="110">
        <f>Projeções!F165</f>
        <v>10064.8044</v>
      </c>
      <c r="C20" s="110">
        <f>Projeções!G165</f>
        <v>13028.550635282003</v>
      </c>
      <c r="D20" s="110">
        <f>Projeções!H165</f>
        <v>13040.709641022564</v>
      </c>
      <c r="E20" s="110">
        <f>Projeções!I165</f>
        <v>13052.88885334488</v>
      </c>
    </row>
    <row r="21" spans="1:5" ht="12.75" customHeight="1">
      <c r="A21" s="115" t="str">
        <f>Projeções!B172</f>
        <v>Obrigações Tributárias e Contributivas - Assist. Social</v>
      </c>
      <c r="B21" s="110">
        <f>Projeções!F172</f>
        <v>34.53</v>
      </c>
      <c r="C21" s="110">
        <f>Projeções!G172</f>
        <v>46.33661633333334</v>
      </c>
      <c r="D21" s="110">
        <f>Projeções!H172</f>
        <v>62.2362026803</v>
      </c>
      <c r="E21" s="110">
        <f>Projeções!I172</f>
        <v>49.23213983465699</v>
      </c>
    </row>
    <row r="22" spans="1:5" ht="12.75" customHeight="1">
      <c r="A22" s="115" t="str">
        <f>Projeções!B179</f>
        <v>Sentenças Judiciais - Assist. Social</v>
      </c>
      <c r="B22" s="110">
        <f>Projeções!F179</f>
        <v>0</v>
      </c>
      <c r="C22" s="110">
        <f>Projeções!G179</f>
        <v>0</v>
      </c>
      <c r="D22" s="110">
        <f>Projeções!H179</f>
        <v>0</v>
      </c>
      <c r="E22" s="110">
        <f>Projeções!I179</f>
        <v>0</v>
      </c>
    </row>
    <row r="23" spans="1:5" ht="12.75" customHeight="1">
      <c r="A23" s="115" t="str">
        <f>Projeções!B186</f>
        <v>Indenizações e Restituições - Assist. Social</v>
      </c>
      <c r="B23" s="110">
        <f>Projeções!F186+Projeções!F193</f>
        <v>0</v>
      </c>
      <c r="C23" s="110">
        <f>Projeções!G186+Projeções!G193</f>
        <v>0</v>
      </c>
      <c r="D23" s="110">
        <f>Projeções!H186+Projeções!H193</f>
        <v>0</v>
      </c>
      <c r="E23" s="110">
        <f>Projeções!I186+Projeções!I193</f>
        <v>0</v>
      </c>
    </row>
    <row r="24" spans="1:5" ht="12.75" customHeight="1">
      <c r="A24" s="115" t="str">
        <f>Projeções!B200</f>
        <v>Amortização da Dívida - Assist. Social</v>
      </c>
      <c r="B24" s="110">
        <f>Projeções!F200</f>
        <v>0</v>
      </c>
      <c r="C24" s="110">
        <f>Projeções!G200</f>
        <v>0</v>
      </c>
      <c r="D24" s="110">
        <f>Projeções!H200</f>
        <v>0</v>
      </c>
      <c r="E24" s="110">
        <f>Projeções!I200</f>
        <v>0</v>
      </c>
    </row>
    <row r="25" spans="1:5" ht="12.75" customHeight="1">
      <c r="A25" s="116" t="s">
        <v>379</v>
      </c>
      <c r="B25" s="111">
        <f>SUM(B17:B24)</f>
        <v>468552.1392429001</v>
      </c>
      <c r="C25" s="111">
        <f>SUM(C17:C24)</f>
        <v>493373.47353387444</v>
      </c>
      <c r="D25" s="111">
        <f>SUM(D17:D24)</f>
        <v>514361.7539652785</v>
      </c>
      <c r="E25" s="111">
        <f>SUM(E17:E24)</f>
        <v>533284.2053180739</v>
      </c>
    </row>
    <row r="26" spans="1:5" ht="12.75" customHeight="1">
      <c r="A26" s="117" t="s">
        <v>416</v>
      </c>
      <c r="B26" s="112">
        <f>B13-B25</f>
        <v>404098.01790509996</v>
      </c>
      <c r="C26" s="112">
        <f>C13-C25</f>
        <v>418452.2011368018</v>
      </c>
      <c r="D26" s="112">
        <f>D13-D25</f>
        <v>390795.10318552796</v>
      </c>
      <c r="E26" s="112">
        <f>E13-E25</f>
        <v>392039.094110394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4">
    <mergeCell ref="A1:E1"/>
    <mergeCell ref="A2:E2"/>
    <mergeCell ref="A3:E3"/>
    <mergeCell ref="B5:E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4">
      <selection activeCell="A1" sqref="A1:E25"/>
    </sheetView>
  </sheetViews>
  <sheetFormatPr defaultColWidth="9.140625" defaultRowHeight="12.75"/>
  <cols>
    <col min="1" max="1" width="82.28125" style="75" customWidth="1"/>
    <col min="2" max="3" width="13.7109375" style="75" customWidth="1"/>
    <col min="4" max="4" width="13.7109375" style="119" customWidth="1"/>
    <col min="5" max="5" width="13.7109375" style="75" customWidth="1"/>
    <col min="6" max="16384" width="9.140625" style="75" customWidth="1"/>
  </cols>
  <sheetData>
    <row r="1" spans="1:5" s="73" customFormat="1" ht="12.75" customHeight="1">
      <c r="A1" s="269" t="str">
        <f>Parâmetros!A7</f>
        <v>Município de :  TAVARES</v>
      </c>
      <c r="B1" s="248"/>
      <c r="C1" s="248"/>
      <c r="D1" s="248"/>
      <c r="E1" s="248"/>
    </row>
    <row r="2" spans="1:5" s="73" customFormat="1" ht="12.75" customHeight="1">
      <c r="A2" s="269" t="s">
        <v>365</v>
      </c>
      <c r="B2" s="248"/>
      <c r="C2" s="248"/>
      <c r="D2" s="248"/>
      <c r="E2" s="248"/>
    </row>
    <row r="3" spans="1:5" ht="12.75" customHeight="1">
      <c r="A3" s="280" t="s">
        <v>437</v>
      </c>
      <c r="B3" s="281"/>
      <c r="C3" s="281"/>
      <c r="D3" s="281"/>
      <c r="E3" s="281"/>
    </row>
    <row r="4" spans="1:5" ht="12.75" customHeight="1">
      <c r="A4" s="123"/>
      <c r="B4" s="123"/>
      <c r="C4" s="123"/>
      <c r="D4" s="89"/>
      <c r="E4" s="124"/>
    </row>
    <row r="5" spans="1:5" ht="12.75" customHeight="1">
      <c r="A5" s="125" t="s">
        <v>380</v>
      </c>
      <c r="B5" s="282"/>
      <c r="C5" s="282"/>
      <c r="D5" s="282"/>
      <c r="E5" s="282"/>
    </row>
    <row r="6" spans="1:5" ht="12.75" customHeight="1">
      <c r="A6" s="144" t="s">
        <v>381</v>
      </c>
      <c r="B6" s="143">
        <f>Parâmetros!C10</f>
        <v>2022</v>
      </c>
      <c r="C6" s="131">
        <f>B6+1</f>
        <v>2023</v>
      </c>
      <c r="D6" s="131">
        <f>C6+1</f>
        <v>2024</v>
      </c>
      <c r="E6" s="131">
        <f>D6+1</f>
        <v>2025</v>
      </c>
    </row>
    <row r="7" spans="1:6" ht="12.75" customHeight="1">
      <c r="A7" s="137" t="s">
        <v>419</v>
      </c>
      <c r="B7" s="135">
        <f>Projeções!F17</f>
        <v>0</v>
      </c>
      <c r="C7" s="135">
        <f>Projeções!G17</f>
        <v>0</v>
      </c>
      <c r="D7" s="135">
        <f>Projeções!H17</f>
        <v>0</v>
      </c>
      <c r="E7" s="136">
        <f>Projeções!I17</f>
        <v>0</v>
      </c>
      <c r="F7" s="118"/>
    </row>
    <row r="8" spans="1:5" ht="12.75" customHeight="1">
      <c r="A8" s="137" t="s">
        <v>420</v>
      </c>
      <c r="B8" s="135">
        <f>Projeções!F118</f>
        <v>0</v>
      </c>
      <c r="C8" s="135">
        <f>Projeções!G118</f>
        <v>0</v>
      </c>
      <c r="D8" s="135">
        <f>Projeções!H118</f>
        <v>0</v>
      </c>
      <c r="E8" s="136">
        <f>Projeções!I118</f>
        <v>0</v>
      </c>
    </row>
    <row r="9" spans="1:5" ht="12.75" customHeight="1">
      <c r="A9" s="137" t="s">
        <v>421</v>
      </c>
      <c r="B9" s="135">
        <f>Projeções!F31</f>
        <v>0</v>
      </c>
      <c r="C9" s="135">
        <f>Projeções!G31</f>
        <v>0</v>
      </c>
      <c r="D9" s="135">
        <f>Projeções!H31</f>
        <v>0</v>
      </c>
      <c r="E9" s="136">
        <f>Projeções!I31</f>
        <v>0</v>
      </c>
    </row>
    <row r="10" spans="1:5" ht="12.75" customHeight="1">
      <c r="A10" s="137" t="s">
        <v>422</v>
      </c>
      <c r="B10" s="135">
        <f>Projeções!F83</f>
        <v>0</v>
      </c>
      <c r="C10" s="135">
        <f>Projeções!G83</f>
        <v>0</v>
      </c>
      <c r="D10" s="135">
        <f>Projeções!H83</f>
        <v>0</v>
      </c>
      <c r="E10" s="136">
        <f>Projeções!I83</f>
        <v>0</v>
      </c>
    </row>
    <row r="11" spans="1:5" ht="12.75" customHeight="1">
      <c r="A11" s="137" t="s">
        <v>423</v>
      </c>
      <c r="B11" s="135">
        <f>Projeções!F115</f>
        <v>0</v>
      </c>
      <c r="C11" s="135">
        <f>Projeções!G115</f>
        <v>0</v>
      </c>
      <c r="D11" s="135">
        <f>Projeções!H115</f>
        <v>0</v>
      </c>
      <c r="E11" s="136">
        <f>Projeções!I115</f>
        <v>0</v>
      </c>
    </row>
    <row r="12" spans="1:5" ht="12.75" customHeight="1">
      <c r="A12" s="152" t="s">
        <v>418</v>
      </c>
      <c r="B12" s="153">
        <f>SUM(B7:B11)</f>
        <v>0</v>
      </c>
      <c r="C12" s="153">
        <f>SUM(C7:C11)</f>
        <v>0</v>
      </c>
      <c r="D12" s="153">
        <f>SUM(D7:D11)</f>
        <v>0</v>
      </c>
      <c r="E12" s="153">
        <f>SUM(E7:E11)</f>
        <v>0</v>
      </c>
    </row>
    <row r="13" spans="1:5" ht="12.75" customHeight="1">
      <c r="A13" s="126"/>
      <c r="B13" s="127"/>
      <c r="C13" s="127"/>
      <c r="D13" s="127"/>
      <c r="E13" s="127"/>
    </row>
    <row r="14" spans="1:5" ht="12.75" customHeight="1">
      <c r="A14" s="108" t="s">
        <v>387</v>
      </c>
      <c r="B14" s="113">
        <f>B6</f>
        <v>2022</v>
      </c>
      <c r="C14" s="113">
        <f>B14+1</f>
        <v>2023</v>
      </c>
      <c r="D14" s="113">
        <f>C14+1</f>
        <v>2024</v>
      </c>
      <c r="E14" s="113">
        <f>D14+1</f>
        <v>2025</v>
      </c>
    </row>
    <row r="15" spans="1:5" ht="12.75" customHeight="1">
      <c r="A15" s="120"/>
      <c r="B15" s="121"/>
      <c r="C15" s="121"/>
      <c r="D15" s="121"/>
      <c r="E15" s="121"/>
    </row>
    <row r="16" spans="1:5" ht="12.75" customHeight="1">
      <c r="A16" s="115" t="str">
        <f>Projeções!B145</f>
        <v>Pessoal e Encargos Sociais - Do RPPS</v>
      </c>
      <c r="B16" s="122">
        <f>Projeções!F145</f>
        <v>0</v>
      </c>
      <c r="C16" s="122">
        <f>Projeções!G145</f>
        <v>0</v>
      </c>
      <c r="D16" s="122">
        <f>Projeções!H145</f>
        <v>0</v>
      </c>
      <c r="E16" s="122">
        <f>Projeções!I145</f>
        <v>0</v>
      </c>
    </row>
    <row r="17" spans="1:5" ht="12.75" customHeight="1">
      <c r="A17" s="115" t="str">
        <f>Projeções!B152</f>
        <v>Juros e Encargos da Dívida - Do RPPS</v>
      </c>
      <c r="B17" s="110">
        <f>Projeções!F152</f>
        <v>0</v>
      </c>
      <c r="C17" s="110">
        <f>Projeções!G152</f>
        <v>0</v>
      </c>
      <c r="D17" s="110">
        <f>Projeções!H152</f>
        <v>0</v>
      </c>
      <c r="E17" s="110">
        <f>Projeções!I152</f>
        <v>0</v>
      </c>
    </row>
    <row r="18" spans="1:5" ht="12.75" customHeight="1">
      <c r="A18" s="115" t="str">
        <f>Projeções!B159</f>
        <v>Outros Benef.Assistênciais - Do RPPS</v>
      </c>
      <c r="B18" s="110">
        <f>Projeções!F159</f>
        <v>0</v>
      </c>
      <c r="C18" s="110">
        <f>Projeções!G159</f>
        <v>0</v>
      </c>
      <c r="D18" s="110">
        <f>Projeções!H159</f>
        <v>0</v>
      </c>
      <c r="E18" s="110">
        <f>Projeções!I159</f>
        <v>0</v>
      </c>
    </row>
    <row r="19" spans="1:5" ht="12.75" customHeight="1">
      <c r="A19" s="115" t="str">
        <f>Projeções!B166</f>
        <v>Auxílio - Alimentação - Do Rpps</v>
      </c>
      <c r="B19" s="110">
        <f>Projeções!F166</f>
        <v>0</v>
      </c>
      <c r="C19" s="110">
        <f>Projeções!G166</f>
        <v>0</v>
      </c>
      <c r="D19" s="110">
        <f>Projeções!H166</f>
        <v>0</v>
      </c>
      <c r="E19" s="110">
        <f>Projeções!I166</f>
        <v>0</v>
      </c>
    </row>
    <row r="20" spans="1:5" ht="12.75" customHeight="1">
      <c r="A20" s="115" t="str">
        <f>Projeções!B173</f>
        <v>Obrigações Tributárias e Contributivas - do RPPS</v>
      </c>
      <c r="B20" s="110">
        <f>Projeções!F173</f>
        <v>0</v>
      </c>
      <c r="C20" s="110">
        <f>Projeções!G173</f>
        <v>0</v>
      </c>
      <c r="D20" s="110">
        <f>Projeções!H173</f>
        <v>0</v>
      </c>
      <c r="E20" s="110">
        <f>Projeções!I173</f>
        <v>0</v>
      </c>
    </row>
    <row r="21" spans="1:5" ht="12.75" customHeight="1">
      <c r="A21" s="115" t="str">
        <f>Projeções!B180</f>
        <v>Sentenças Judiciais - Do RPPS</v>
      </c>
      <c r="B21" s="110">
        <f>Projeções!F180</f>
        <v>0</v>
      </c>
      <c r="C21" s="110">
        <f>Projeções!G180</f>
        <v>0</v>
      </c>
      <c r="D21" s="110">
        <f>Projeções!H180</f>
        <v>0</v>
      </c>
      <c r="E21" s="110">
        <f>Projeções!I180</f>
        <v>0</v>
      </c>
    </row>
    <row r="22" spans="1:5" ht="12.75" customHeight="1">
      <c r="A22" s="115" t="str">
        <f>Projeções!B187</f>
        <v>Indenizações e Restituições - Do RPPS</v>
      </c>
      <c r="B22" s="110">
        <f>Projeções!F187+Projeções!F194</f>
        <v>0</v>
      </c>
      <c r="C22" s="110">
        <f>Projeções!G187+Projeções!G194</f>
        <v>0</v>
      </c>
      <c r="D22" s="110">
        <f>Projeções!H187+Projeções!H194</f>
        <v>0</v>
      </c>
      <c r="E22" s="110">
        <f>Projeções!I187+Projeções!I194</f>
        <v>0</v>
      </c>
    </row>
    <row r="23" spans="1:5" ht="12.75" customHeight="1">
      <c r="A23" s="115" t="str">
        <f>Projeções!B201</f>
        <v>Amortização da Dívida - Do RPPS</v>
      </c>
      <c r="B23" s="110">
        <f>Projeções!F201</f>
        <v>0</v>
      </c>
      <c r="C23" s="110">
        <f>Projeções!G201</f>
        <v>0</v>
      </c>
      <c r="D23" s="110">
        <f>Projeções!H201</f>
        <v>0</v>
      </c>
      <c r="E23" s="110">
        <f>Projeções!I201</f>
        <v>0</v>
      </c>
    </row>
    <row r="24" spans="1:5" ht="12.75" customHeight="1">
      <c r="A24" s="116" t="s">
        <v>379</v>
      </c>
      <c r="B24" s="111">
        <f>SUM(B16:B23)</f>
        <v>0</v>
      </c>
      <c r="C24" s="111">
        <f>SUM(C16:C23)</f>
        <v>0</v>
      </c>
      <c r="D24" s="111">
        <f>SUM(D16:D23)</f>
        <v>0</v>
      </c>
      <c r="E24" s="111">
        <f>SUM(E16:E23)</f>
        <v>0</v>
      </c>
    </row>
    <row r="25" spans="1:5" ht="25.5" customHeight="1">
      <c r="A25" s="223" t="s">
        <v>443</v>
      </c>
      <c r="B25" s="112">
        <f>B12-B24</f>
        <v>0</v>
      </c>
      <c r="C25" s="112">
        <f>C12-C24</f>
        <v>0</v>
      </c>
      <c r="D25" s="112">
        <f>D12-D24</f>
        <v>0</v>
      </c>
      <c r="E25" s="112">
        <f>E12-E24</f>
        <v>0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/>
  <mergeCells count="4">
    <mergeCell ref="A1:E1"/>
    <mergeCell ref="A2:E2"/>
    <mergeCell ref="A3:E3"/>
    <mergeCell ref="B5:E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Usuário do Windows</cp:lastModifiedBy>
  <cp:lastPrinted>2021-08-16T12:56:32Z</cp:lastPrinted>
  <dcterms:created xsi:type="dcterms:W3CDTF">2000-07-04T17:38:30Z</dcterms:created>
  <dcterms:modified xsi:type="dcterms:W3CDTF">2022-08-02T13:01:31Z</dcterms:modified>
  <cp:category/>
  <cp:version/>
  <cp:contentType/>
  <cp:contentStatus/>
</cp:coreProperties>
</file>