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ras\Documents\EDITAIS LICITAÇÕES\2021\TOMADA DE PREÇO 2021\TP 005 2021 PIAZITO\"/>
    </mc:Choice>
  </mc:AlternateContent>
  <bookViews>
    <workbookView xWindow="0" yWindow="0" windowWidth="20490" windowHeight="7755" activeTab="3"/>
  </bookViews>
  <sheets>
    <sheet name="Orçamento" sheetId="12" r:id="rId1"/>
    <sheet name="Cronograma" sheetId="10" r:id="rId2"/>
    <sheet name="Composições" sheetId="5" r:id="rId3"/>
    <sheet name="BDI" sheetId="4" r:id="rId4"/>
  </sheets>
  <definedNames>
    <definedName name="_xlnm.Print_Area" localSheetId="3">BDI!$A$1:$E$41</definedName>
    <definedName name="_xlnm.Print_Area" localSheetId="1">Cronograma!$A$1:$I$46</definedName>
    <definedName name="_xlnm.Print_Area" localSheetId="0">Orçamento!$A$1:$I$150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4" i="12" l="1"/>
  <c r="F5" i="5"/>
  <c r="F1" i="5"/>
  <c r="E125" i="12" l="1"/>
  <c r="E69" i="12"/>
  <c r="E127" i="12"/>
  <c r="E21" i="12"/>
  <c r="E65" i="12" l="1"/>
  <c r="E129" i="12" s="1"/>
  <c r="E5" i="12" l="1"/>
  <c r="E4" i="12" l="1"/>
  <c r="E57" i="12"/>
  <c r="E56" i="12"/>
  <c r="E81" i="12" l="1"/>
  <c r="E82" i="12"/>
  <c r="E26" i="12"/>
  <c r="E20" i="12"/>
  <c r="E22" i="12"/>
  <c r="E76" i="12"/>
  <c r="F21" i="5" l="1"/>
  <c r="E137" i="12" l="1"/>
  <c r="E140" i="12" s="1"/>
  <c r="E139" i="12" l="1"/>
  <c r="E138" i="12"/>
  <c r="B27" i="10"/>
  <c r="B25" i="10"/>
  <c r="B23" i="10"/>
  <c r="B21" i="10"/>
  <c r="B19" i="10"/>
  <c r="B17" i="10"/>
  <c r="B15" i="10"/>
  <c r="B13" i="10"/>
  <c r="B11" i="10"/>
  <c r="B9" i="10"/>
  <c r="B7" i="10"/>
  <c r="B5" i="10"/>
  <c r="B3" i="10"/>
  <c r="A27" i="10"/>
  <c r="A25" i="10"/>
  <c r="A23" i="10"/>
  <c r="A21" i="10"/>
  <c r="A19" i="10"/>
  <c r="A17" i="10"/>
  <c r="A15" i="10"/>
  <c r="A13" i="10"/>
  <c r="A11" i="10"/>
  <c r="A9" i="10"/>
  <c r="A7" i="10"/>
  <c r="A5" i="10"/>
  <c r="A3" i="10"/>
  <c r="E33" i="12"/>
  <c r="E34" i="12"/>
  <c r="E35" i="12"/>
  <c r="E31" i="12"/>
  <c r="E37" i="12"/>
  <c r="E38" i="12" s="1"/>
  <c r="E17" i="12"/>
  <c r="E13" i="12"/>
  <c r="E12" i="12"/>
  <c r="E11" i="12"/>
  <c r="E10" i="12"/>
  <c r="E9" i="12"/>
  <c r="E8" i="12"/>
  <c r="E14" i="12"/>
  <c r="E15" i="12" s="1"/>
  <c r="E50" i="12"/>
  <c r="E58" i="12" s="1"/>
  <c r="E51" i="12"/>
  <c r="E61" i="12"/>
  <c r="E135" i="12"/>
  <c r="E75" i="12"/>
  <c r="E130" i="12"/>
  <c r="E128" i="12"/>
  <c r="E126" i="12"/>
  <c r="C132" i="12"/>
  <c r="F118" i="12"/>
  <c r="C112" i="12"/>
  <c r="F89" i="12"/>
  <c r="C96" i="12"/>
  <c r="E83" i="12"/>
  <c r="C77" i="12"/>
  <c r="E136" i="12"/>
  <c r="E66" i="12"/>
  <c r="E55" i="12"/>
  <c r="C62" i="12"/>
  <c r="E54" i="12"/>
  <c r="E53" i="12"/>
  <c r="F52" i="12"/>
  <c r="E48" i="12"/>
  <c r="C43" i="12"/>
  <c r="E27" i="12"/>
  <c r="C24" i="12"/>
  <c r="F17" i="12"/>
  <c r="G2" i="12"/>
  <c r="G41" i="12" s="1"/>
  <c r="H41" i="12" s="1"/>
  <c r="I41" i="12" s="1"/>
  <c r="G17" i="12" l="1"/>
  <c r="H17" i="12" s="1"/>
  <c r="I17" i="12" s="1"/>
  <c r="G118" i="12"/>
  <c r="H118" i="12" s="1"/>
  <c r="I118" i="12" s="1"/>
  <c r="G52" i="12"/>
  <c r="H52" i="12" s="1"/>
  <c r="I52" i="12" s="1"/>
  <c r="G140" i="12"/>
  <c r="H140" i="12" s="1"/>
  <c r="I140" i="12" s="1"/>
  <c r="G136" i="12"/>
  <c r="H136" i="12" s="1"/>
  <c r="G127" i="12"/>
  <c r="H127" i="12" s="1"/>
  <c r="I127" i="12" s="1"/>
  <c r="G119" i="12"/>
  <c r="H119" i="12" s="1"/>
  <c r="I119" i="12" s="1"/>
  <c r="G115" i="12"/>
  <c r="H115" i="12" s="1"/>
  <c r="I115" i="12" s="1"/>
  <c r="G111" i="12"/>
  <c r="H111" i="12" s="1"/>
  <c r="I111" i="12" s="1"/>
  <c r="G107" i="12"/>
  <c r="H107" i="12" s="1"/>
  <c r="I107" i="12" s="1"/>
  <c r="G103" i="12"/>
  <c r="H103" i="12" s="1"/>
  <c r="I103" i="12" s="1"/>
  <c r="G95" i="12"/>
  <c r="H95" i="12" s="1"/>
  <c r="I95" i="12" s="1"/>
  <c r="G93" i="12"/>
  <c r="H93" i="12" s="1"/>
  <c r="I93" i="12" s="1"/>
  <c r="G81" i="12"/>
  <c r="H81" i="12" s="1"/>
  <c r="I81" i="12" s="1"/>
  <c r="G75" i="12"/>
  <c r="H75" i="12" s="1"/>
  <c r="I75" i="12" s="1"/>
  <c r="G61" i="12"/>
  <c r="H61" i="12" s="1"/>
  <c r="I61" i="12" s="1"/>
  <c r="G57" i="12"/>
  <c r="H57" i="12" s="1"/>
  <c r="I57" i="12" s="1"/>
  <c r="G53" i="12"/>
  <c r="H53" i="12" s="1"/>
  <c r="I53" i="12" s="1"/>
  <c r="G49" i="12"/>
  <c r="H49" i="12" s="1"/>
  <c r="I49" i="12" s="1"/>
  <c r="G45" i="12"/>
  <c r="H45" i="12" s="1"/>
  <c r="I45" i="12" s="1"/>
  <c r="I59" i="12" s="1"/>
  <c r="G37" i="12"/>
  <c r="H37" i="12" s="1"/>
  <c r="I37" i="12" s="1"/>
  <c r="G33" i="12"/>
  <c r="H33" i="12" s="1"/>
  <c r="I33" i="12" s="1"/>
  <c r="G27" i="12"/>
  <c r="H27" i="12" s="1"/>
  <c r="I27" i="12" s="1"/>
  <c r="G21" i="12"/>
  <c r="H21" i="12" s="1"/>
  <c r="I21" i="12" s="1"/>
  <c r="G15" i="12"/>
  <c r="H15" i="12" s="1"/>
  <c r="I15" i="12" s="1"/>
  <c r="G11" i="12"/>
  <c r="H11" i="12" s="1"/>
  <c r="I11" i="12" s="1"/>
  <c r="G128" i="12"/>
  <c r="H128" i="12" s="1"/>
  <c r="I128" i="12" s="1"/>
  <c r="G116" i="12"/>
  <c r="H116" i="12" s="1"/>
  <c r="I116" i="12" s="1"/>
  <c r="G108" i="12"/>
  <c r="H108" i="12" s="1"/>
  <c r="I108" i="12" s="1"/>
  <c r="G98" i="12"/>
  <c r="H98" i="12" s="1"/>
  <c r="I98" i="12" s="1"/>
  <c r="G139" i="12"/>
  <c r="H139" i="12" s="1"/>
  <c r="I139" i="12" s="1"/>
  <c r="G135" i="12"/>
  <c r="H135" i="12" s="1"/>
  <c r="I135" i="12" s="1"/>
  <c r="I141" i="12" s="1"/>
  <c r="G130" i="12"/>
  <c r="H130" i="12" s="1"/>
  <c r="I130" i="12" s="1"/>
  <c r="G126" i="12"/>
  <c r="H126" i="12" s="1"/>
  <c r="I126" i="12" s="1"/>
  <c r="G122" i="12"/>
  <c r="H122" i="12" s="1"/>
  <c r="I122" i="12" s="1"/>
  <c r="G114" i="12"/>
  <c r="H114" i="12" s="1"/>
  <c r="I114" i="12" s="1"/>
  <c r="G110" i="12"/>
  <c r="H110" i="12" s="1"/>
  <c r="I110" i="12" s="1"/>
  <c r="G106" i="12"/>
  <c r="H106" i="12" s="1"/>
  <c r="I106" i="12" s="1"/>
  <c r="G102" i="12"/>
  <c r="H102" i="12" s="1"/>
  <c r="I102" i="12" s="1"/>
  <c r="G92" i="12"/>
  <c r="H92" i="12" s="1"/>
  <c r="I92" i="12" s="1"/>
  <c r="G88" i="12"/>
  <c r="H88" i="12" s="1"/>
  <c r="I88" i="12" s="1"/>
  <c r="G74" i="12"/>
  <c r="H74" i="12" s="1"/>
  <c r="I74" i="12" s="1"/>
  <c r="G66" i="12"/>
  <c r="H66" i="12" s="1"/>
  <c r="I66" i="12" s="1"/>
  <c r="G56" i="12"/>
  <c r="H56" i="12" s="1"/>
  <c r="I56" i="12" s="1"/>
  <c r="G48" i="12"/>
  <c r="H48" i="12" s="1"/>
  <c r="I48" i="12" s="1"/>
  <c r="G42" i="12"/>
  <c r="H42" i="12" s="1"/>
  <c r="I42" i="12" s="1"/>
  <c r="G36" i="12"/>
  <c r="H36" i="12" s="1"/>
  <c r="I36" i="12" s="1"/>
  <c r="G32" i="12"/>
  <c r="H32" i="12" s="1"/>
  <c r="I32" i="12" s="1"/>
  <c r="G26" i="12"/>
  <c r="H26" i="12" s="1"/>
  <c r="I26" i="12" s="1"/>
  <c r="G20" i="12"/>
  <c r="H20" i="12" s="1"/>
  <c r="I20" i="12" s="1"/>
  <c r="G14" i="12"/>
  <c r="H14" i="12" s="1"/>
  <c r="I14" i="12" s="1"/>
  <c r="G10" i="12"/>
  <c r="H10" i="12" s="1"/>
  <c r="I10" i="12" s="1"/>
  <c r="G137" i="12"/>
  <c r="H137" i="12" s="1"/>
  <c r="I137" i="12" s="1"/>
  <c r="G94" i="12"/>
  <c r="H94" i="12" s="1"/>
  <c r="I94" i="12" s="1"/>
  <c r="G138" i="12"/>
  <c r="H138" i="12" s="1"/>
  <c r="I138" i="12" s="1"/>
  <c r="G129" i="12"/>
  <c r="H129" i="12" s="1"/>
  <c r="I129" i="12" s="1"/>
  <c r="G125" i="12"/>
  <c r="H125" i="12" s="1"/>
  <c r="I125" i="12" s="1"/>
  <c r="G121" i="12"/>
  <c r="H121" i="12" s="1"/>
  <c r="I121" i="12" s="1"/>
  <c r="G117" i="12"/>
  <c r="H117" i="12" s="1"/>
  <c r="I117" i="12" s="1"/>
  <c r="G109" i="12"/>
  <c r="H109" i="12" s="1"/>
  <c r="I109" i="12" s="1"/>
  <c r="G105" i="12"/>
  <c r="H105" i="12" s="1"/>
  <c r="I105" i="12" s="1"/>
  <c r="G101" i="12"/>
  <c r="H101" i="12" s="1"/>
  <c r="I101" i="12" s="1"/>
  <c r="G91" i="12"/>
  <c r="H91" i="12" s="1"/>
  <c r="I91" i="12" s="1"/>
  <c r="G87" i="12"/>
  <c r="H87" i="12" s="1"/>
  <c r="I87" i="12" s="1"/>
  <c r="G83" i="12"/>
  <c r="H83" i="12" s="1"/>
  <c r="I83" i="12" s="1"/>
  <c r="G73" i="12"/>
  <c r="H73" i="12" s="1"/>
  <c r="I73" i="12" s="1"/>
  <c r="G69" i="12"/>
  <c r="H69" i="12" s="1"/>
  <c r="I69" i="12" s="1"/>
  <c r="I70" i="12" s="1"/>
  <c r="G65" i="12"/>
  <c r="H65" i="12" s="1"/>
  <c r="I65" i="12" s="1"/>
  <c r="G55" i="12"/>
  <c r="H55" i="12" s="1"/>
  <c r="I55" i="12" s="1"/>
  <c r="G51" i="12"/>
  <c r="H51" i="12" s="1"/>
  <c r="I51" i="12" s="1"/>
  <c r="G47" i="12"/>
  <c r="H47" i="12" s="1"/>
  <c r="I47" i="12" s="1"/>
  <c r="G35" i="12"/>
  <c r="H35" i="12" s="1"/>
  <c r="I35" i="12" s="1"/>
  <c r="G31" i="12"/>
  <c r="H31" i="12" s="1"/>
  <c r="I31" i="12" s="1"/>
  <c r="G23" i="12"/>
  <c r="H23" i="12" s="1"/>
  <c r="I23" i="12" s="1"/>
  <c r="G13" i="12"/>
  <c r="H13" i="12" s="1"/>
  <c r="I13" i="12" s="1"/>
  <c r="G9" i="12"/>
  <c r="H9" i="12" s="1"/>
  <c r="I9" i="12" s="1"/>
  <c r="I18" i="12" s="1"/>
  <c r="G120" i="12"/>
  <c r="H120" i="12" s="1"/>
  <c r="I120" i="12" s="1"/>
  <c r="G104" i="12"/>
  <c r="H104" i="12" s="1"/>
  <c r="I104" i="12" s="1"/>
  <c r="G64" i="12"/>
  <c r="H64" i="12" s="1"/>
  <c r="I64" i="12" s="1"/>
  <c r="G58" i="12"/>
  <c r="H58" i="12" s="1"/>
  <c r="I58" i="12" s="1"/>
  <c r="G38" i="12"/>
  <c r="H38" i="12" s="1"/>
  <c r="I38" i="12" s="1"/>
  <c r="G16" i="12"/>
  <c r="H16" i="12" s="1"/>
  <c r="I16" i="12" s="1"/>
  <c r="G50" i="12"/>
  <c r="H50" i="12" s="1"/>
  <c r="I50" i="12" s="1"/>
  <c r="G82" i="12"/>
  <c r="H82" i="12" s="1"/>
  <c r="I82" i="12" s="1"/>
  <c r="G72" i="12"/>
  <c r="H72" i="12" s="1"/>
  <c r="I72" i="12" s="1"/>
  <c r="G54" i="12"/>
  <c r="H54" i="12" s="1"/>
  <c r="I54" i="12" s="1"/>
  <c r="G34" i="12"/>
  <c r="H34" i="12" s="1"/>
  <c r="I34" i="12" s="1"/>
  <c r="G28" i="12"/>
  <c r="H28" i="12" s="1"/>
  <c r="I28" i="12" s="1"/>
  <c r="G12" i="12"/>
  <c r="H12" i="12" s="1"/>
  <c r="I12" i="12" s="1"/>
  <c r="G22" i="12"/>
  <c r="H22" i="12" s="1"/>
  <c r="I22" i="12" s="1"/>
  <c r="G86" i="12"/>
  <c r="H86" i="12" s="1"/>
  <c r="I86" i="12" s="1"/>
  <c r="G90" i="12"/>
  <c r="H90" i="12" s="1"/>
  <c r="I90" i="12" s="1"/>
  <c r="G76" i="12"/>
  <c r="H76" i="12" s="1"/>
  <c r="I76" i="12" s="1"/>
  <c r="G8" i="12"/>
  <c r="H8" i="12" s="1"/>
  <c r="I8" i="12" s="1"/>
  <c r="G46" i="12"/>
  <c r="H46" i="12" s="1"/>
  <c r="I46" i="12" s="1"/>
  <c r="G4" i="12"/>
  <c r="H4" i="12" s="1"/>
  <c r="I4" i="12" s="1"/>
  <c r="I6" i="12" s="1"/>
  <c r="G5" i="12"/>
  <c r="H5" i="12" s="1"/>
  <c r="I5" i="12" s="1"/>
  <c r="I136" i="12"/>
  <c r="G89" i="12"/>
  <c r="H89" i="12" s="1"/>
  <c r="I89" i="12" s="1"/>
  <c r="G63" i="12"/>
  <c r="G44" i="12"/>
  <c r="G25" i="12"/>
  <c r="G113" i="12"/>
  <c r="G78" i="12"/>
  <c r="G97" i="12"/>
  <c r="G133" i="12"/>
  <c r="I131" i="12" l="1"/>
  <c r="C25" i="10" s="1"/>
  <c r="I123" i="12"/>
  <c r="C23" i="10" s="1"/>
  <c r="I99" i="12"/>
  <c r="I84" i="12"/>
  <c r="C19" i="10" s="1"/>
  <c r="I79" i="12"/>
  <c r="I39" i="12"/>
  <c r="C9" i="10" s="1"/>
  <c r="I29" i="12"/>
  <c r="I67" i="12"/>
  <c r="C13" i="10" s="1"/>
  <c r="C3" i="10"/>
  <c r="C27" i="10"/>
  <c r="C17" i="10"/>
  <c r="C21" i="10"/>
  <c r="C11" i="10"/>
  <c r="C15" i="10"/>
  <c r="I143" i="12" l="1"/>
  <c r="C7" i="10"/>
  <c r="G8" i="10" s="1"/>
  <c r="C5" i="10"/>
  <c r="G26" i="10"/>
  <c r="G22" i="10"/>
  <c r="F18" i="10"/>
  <c r="G16" i="10"/>
  <c r="H14" i="10"/>
  <c r="G12" i="10"/>
  <c r="G10" i="10"/>
  <c r="F8" i="10" l="1"/>
  <c r="H22" i="10"/>
  <c r="F10" i="10"/>
  <c r="E26" i="10"/>
  <c r="E18" i="10"/>
  <c r="F4" i="10"/>
  <c r="E10" i="10"/>
  <c r="E12" i="10"/>
  <c r="E16" i="10"/>
  <c r="H18" i="10"/>
  <c r="F22" i="10"/>
  <c r="H26" i="10"/>
  <c r="G14" i="10"/>
  <c r="F26" i="10"/>
  <c r="G4" i="10"/>
  <c r="F12" i="10"/>
  <c r="E4" i="10"/>
  <c r="E8" i="10"/>
  <c r="H10" i="10"/>
  <c r="H12" i="10"/>
  <c r="H16" i="10"/>
  <c r="G18" i="10"/>
  <c r="H8" i="10"/>
  <c r="F14" i="10"/>
  <c r="H4" i="10"/>
  <c r="E14" i="10"/>
  <c r="F16" i="10"/>
  <c r="E22" i="10"/>
  <c r="H20" i="10" l="1"/>
  <c r="G20" i="10"/>
  <c r="F20" i="10"/>
  <c r="E20" i="10"/>
  <c r="E28" i="10"/>
  <c r="F28" i="10"/>
  <c r="H28" i="10"/>
  <c r="G28" i="10"/>
  <c r="F24" i="10" l="1"/>
  <c r="E24" i="10"/>
  <c r="G24" i="10"/>
  <c r="H24" i="10"/>
  <c r="G6" i="10"/>
  <c r="A30" i="10"/>
  <c r="D5" i="10" s="1"/>
  <c r="H6" i="10"/>
  <c r="F6" i="10"/>
  <c r="E6" i="10"/>
  <c r="E33" i="10" l="1"/>
  <c r="E30" i="10" s="1"/>
  <c r="F33" i="10"/>
  <c r="F29" i="10" s="1"/>
  <c r="H33" i="10"/>
  <c r="H29" i="10" s="1"/>
  <c r="G33" i="10"/>
  <c r="G29" i="10" s="1"/>
  <c r="D21" i="10"/>
  <c r="D15" i="10"/>
  <c r="D19" i="10"/>
  <c r="D27" i="10"/>
  <c r="D17" i="10"/>
  <c r="D23" i="10"/>
  <c r="D3" i="10"/>
  <c r="D9" i="10"/>
  <c r="D13" i="10"/>
  <c r="D7" i="10"/>
  <c r="D25" i="10"/>
  <c r="D11" i="10"/>
  <c r="E38" i="10" l="1"/>
  <c r="F38" i="10" s="1"/>
  <c r="G38" i="10" s="1"/>
  <c r="H38" i="10" s="1"/>
  <c r="F30" i="10"/>
  <c r="G30" i="10"/>
  <c r="E35" i="10"/>
  <c r="E29" i="10"/>
  <c r="H30" i="10"/>
  <c r="F23" i="5"/>
  <c r="F24" i="5"/>
  <c r="F25" i="5"/>
  <c r="F26" i="5"/>
  <c r="F27" i="5"/>
  <c r="F28" i="5"/>
  <c r="F29" i="5"/>
  <c r="F30" i="5"/>
  <c r="F22" i="5"/>
  <c r="E34" i="10" l="1"/>
  <c r="F34" i="10" s="1"/>
  <c r="G34" i="10" s="1"/>
  <c r="H34" i="10" s="1"/>
  <c r="F35" i="10"/>
  <c r="G35" i="10" s="1"/>
  <c r="H35" i="10" s="1"/>
  <c r="F3" i="5" l="1"/>
  <c r="F2" i="5"/>
  <c r="E19" i="4" l="1"/>
  <c r="F19" i="5" l="1"/>
  <c r="F7" i="5"/>
  <c r="F8" i="5"/>
  <c r="F9" i="5"/>
  <c r="F10" i="5"/>
  <c r="F11" i="5"/>
  <c r="F12" i="5"/>
  <c r="F13" i="5"/>
  <c r="F14" i="5"/>
  <c r="F15" i="5"/>
  <c r="F16" i="5"/>
  <c r="F17" i="5"/>
  <c r="F18" i="5"/>
  <c r="F6" i="5"/>
</calcChain>
</file>

<file path=xl/sharedStrings.xml><?xml version="1.0" encoding="utf-8"?>
<sst xmlns="http://schemas.openxmlformats.org/spreadsheetml/2006/main" count="527" uniqueCount="319">
  <si>
    <t>Item</t>
  </si>
  <si>
    <t>Ref. Preço</t>
  </si>
  <si>
    <t>Unid.</t>
  </si>
  <si>
    <t>Quantidade</t>
  </si>
  <si>
    <t>Preço unitário</t>
  </si>
  <si>
    <t>Preço unitário com B.D.I.</t>
  </si>
  <si>
    <t>Total (R$)</t>
  </si>
  <si>
    <t>CÓD. SINAPI</t>
  </si>
  <si>
    <t>SERVIÇOS INICIAIS</t>
  </si>
  <si>
    <t>1.1</t>
  </si>
  <si>
    <t>PAREDES</t>
  </si>
  <si>
    <t>TOTAL SERVIÇOS INICIAIS</t>
  </si>
  <si>
    <t>B.D.I.</t>
  </si>
  <si>
    <t>COBERTURA</t>
  </si>
  <si>
    <t>ESQUADRIAS</t>
  </si>
  <si>
    <t>INSTALAÇÕES HIDROSSANITÁRIAS</t>
  </si>
  <si>
    <t>TOTAL DE SERVIÇOS COMPLEMENTARES</t>
  </si>
  <si>
    <t>CUSTO TOTAL</t>
  </si>
  <si>
    <t>TOTAL DE MATERIAL E MÃO-DE-OBRA</t>
  </si>
  <si>
    <t>PLACA DE OBRA EM CHAPA DE AÇO GALVANIZADO</t>
  </si>
  <si>
    <t>2.1</t>
  </si>
  <si>
    <t>2.2</t>
  </si>
  <si>
    <t>2.3</t>
  </si>
  <si>
    <t>2.4</t>
  </si>
  <si>
    <t>3.2</t>
  </si>
  <si>
    <t>4.1</t>
  </si>
  <si>
    <t>4.2</t>
  </si>
  <si>
    <t>4.3</t>
  </si>
  <si>
    <t>5.1</t>
  </si>
  <si>
    <t>6.1</t>
  </si>
  <si>
    <t>6.2</t>
  </si>
  <si>
    <t>7.1</t>
  </si>
  <si>
    <t>8.2</t>
  </si>
  <si>
    <t>8.3</t>
  </si>
  <si>
    <t>10.1</t>
  </si>
  <si>
    <t>10.2</t>
  </si>
  <si>
    <t>10.3</t>
  </si>
  <si>
    <t>10.4</t>
  </si>
  <si>
    <t>10.5</t>
  </si>
  <si>
    <t>10.6</t>
  </si>
  <si>
    <t>11.1</t>
  </si>
  <si>
    <t>11.2</t>
  </si>
  <si>
    <t>PINTURAS</t>
  </si>
  <si>
    <t>INSTALAÇÕES ELÉTRICAS</t>
  </si>
  <si>
    <t>CONTRAPISO E PISO</t>
  </si>
  <si>
    <t>REVESTIMENTOS (azulejo)</t>
  </si>
  <si>
    <t>REVESTIMENTOS (chapisco e reboco)</t>
  </si>
  <si>
    <t>TOTAL PAREDES</t>
  </si>
  <si>
    <t>TOTAL COBERTURA</t>
  </si>
  <si>
    <t>TOTAL REVESTIMENTO (chapisco e reboco)</t>
  </si>
  <si>
    <t>TOTAL REVESTIMENTOS (azulejo)</t>
  </si>
  <si>
    <t>TOTAL ESQUADRIAS</t>
  </si>
  <si>
    <t>TOTAL CONTRAPISO E PISO</t>
  </si>
  <si>
    <t>TOTAL INSTALAÇÕES ELÉTRICAS</t>
  </si>
  <si>
    <t>TOTAL INSTALAÇÕES HIDROSSANITÁRIAS</t>
  </si>
  <si>
    <t>TOTAL DE PINTURAS</t>
  </si>
  <si>
    <t>KIT DE PORTA DE MADEIRA PARA PINTURA, SEMI-OCA (LEVE OU MÉDIA), PADRÃO POPULAR, 70X210CM, ESPESSURA DE 3,5CM, ITENS INCLUSOS: DOBRADIÇAS, MONTAGEM E INSTALAÇÃO DO BATENTE, FECHADURA COM EXECUÇÃO DO FURO - FORNE FECHADURA COM EXECUÇÃO DO FURO - FORNE FECHADURA COM EXECUÇÃO DO FURO - FORNECIMENTO E INSTALAÇÃO. AF_12/2019</t>
  </si>
  <si>
    <t>KIT DE PORTA DE MADEIRA PARA PINTURA, SEMI-OCA (LEVE OU MÉDIA), PADRÃO POPULAR, 80X210CM, ESPESSURA DE 3,5CM, ITENS INCLUSOS: DOBRADIÇAS, MONTAGEM E INSTALAÇÃO DO BATENTE, FECHADURA COM EXECUÇÃO DO FURO - FORNECIMENTO E INSTALAÇÃO. AF_12/2019</t>
  </si>
  <si>
    <t>JANELA DE ALUMÍNIO TIPO MAXIM-AR, COM VIDROS, BATENTE E FERRAGENS. EXCLUSIVE ALIZAR, ACABAMENTO E CONTRAMARCO. FORNECIMENTO E INSTALAÇÃO. AF_12/2019</t>
  </si>
  <si>
    <t>REVESTIMENTO CERÂMICO PARA PISO COM PLACAS TIPO ESMALTADA EXTRA DE DIMENSÕES 60X60 CM APLICADA EM AMBIENTES DE ÁREA MAIOR QUE 10 M2. AF_06/2014</t>
  </si>
  <si>
    <t>VASO SANITÁRIO SIFONADO COM CAIXA ACOPLADA LOUÇA BRANCA, INCLUSO ENGATE FLEXÍVEL EM PLÁSTICO BRANCO, 1/2 X 40CM - FORNECIMENTO E INSTALAÇÃO. AF_01/2020</t>
  </si>
  <si>
    <t>LAVATÓRIO LOUÇA BRANCA COM COLUNA, *44 X 35,5* CM, PADRÃO POPULAR, INCLUSO SIFÃO FLEXÍVEL EM PVC, VÁLVULA E ENGATE FLEXÍVEL 30CM EM PLÁSTICO E COM TORNEIRA CROMADA PADRÃO POPULAR - FORNECIMENTO E INSTALAÇÃO. AF_01/2020</t>
  </si>
  <si>
    <t>3.4</t>
  </si>
  <si>
    <t>VERGA MOLDADA IN LOCO EM CONCRETO PARA JANELAS COM ATÉ 1,5 M DE VÃO. AF_03/2016</t>
  </si>
  <si>
    <t>REVESTIMENTO CERÂMICO PARA PAREDES INTERNAS COM PLACAS TIPO ESMALTADA PADRÃO POPULAR DE DIMENSÕES 20X20 CM, ARGAMASSA TIPO AC I, APLICADAS EM AMBIENTES DE ÁREA MENOR QUE 5 M2 NA ALTURA INTEIRA DAS PAREDES. AF_06/2014</t>
  </si>
  <si>
    <t>VERGA MOLDADA IN LOCO EM CONCRETO PARA PORTAS COM ATÉ 1,5 M DE VÃO. AF_03/2016</t>
  </si>
  <si>
    <t>APLICAÇÃO MANUAL DE PINTURA COM TINTA LÁTEX ACRÍLICA EM PAREDES, DUAS DEMÃOS. AF_06/2014</t>
  </si>
  <si>
    <t>APLICAÇÃO DE FUNDO SELADOR ACRÍLICO EM PAREDES, UMA DEMÃO. AF_06/2014</t>
  </si>
  <si>
    <t>PINTURA FUNDO NIVELADOR ALQUÍDICO BRANCO EM MADEIRA. AF_01/2021</t>
  </si>
  <si>
    <t>PINTURA TINTA DE ACABAMENTO (PIGMENTADA) A ÓLEO EM MADEIRA, 3 DEMÃOS. AF_01/2021</t>
  </si>
  <si>
    <t>CHAPISCO APLICADO EM ALVENARIAS E ESTRUTURAS DE CONCRETO INTERNAS, COM COLHER DE PEDREIRO. ARGAMASSA TRAÇO 1:3 COM PREPARO EM BETONEIRA 400L. AF_06/2014</t>
  </si>
  <si>
    <t>MASSA ÚNICA, PARA RECEBIMENTO DE PINTURA, EM ARGAMASSA TRAÇO 1:2:8, PREPARO MECÂNICO COM BETONEIRA 400L, APLICADA MANUALMENTE EM FACES INTERNAS DE PAREDES, ESPESSURA DE 20MM, COM EXECUÇÃO DE TALISCAS. AF_06/2014</t>
  </si>
  <si>
    <t>6.3</t>
  </si>
  <si>
    <t>MASSA ÚNICA, PARA RECEBIMENTO DE PINTURA, EM ARGAMASSA TRAÇO 1:2:8, PREPARO MECÂNICO COM BETONEIRA 400L, APLICADA MANUALMENTE EM TETO, ESPESSURA DE 20MM, COM EXECUÇÃO DE TALISCAS. AF_03/2015</t>
  </si>
  <si>
    <t>APLICAÇÃO MANUAL DE PINTURA COM TINTA LÁTEX ACRÍLICA EM TETO, DUAS DEMÃOS. AF_06/2014</t>
  </si>
  <si>
    <t>APLICAÇÃO DE FUNDO SELADOR ACRÍLICO EM TETO, UMA DEMÃO. AF_06/2014</t>
  </si>
  <si>
    <t>PREFEITURA MUNICIPAL DE TAVARES</t>
  </si>
  <si>
    <t>Quadro de Composição do BDI</t>
  </si>
  <si>
    <t>Conforme legislação tributária municipal, definir estimativa de percentual da base de cálculo para o ISS:</t>
  </si>
  <si>
    <t>Sobre a base de cálculo, definir a respectiva alíquota do ISS (entre 2% e 5%):</t>
  </si>
  <si>
    <t>BDI</t>
  </si>
  <si>
    <t>Itens</t>
  </si>
  <si>
    <t>Siglas</t>
  </si>
  <si>
    <r>
      <rPr>
        <b/>
        <sz val="10"/>
        <rFont val="Calibri"/>
        <family val="2"/>
        <scheme val="minor"/>
      </rPr>
      <t>%
Adotado</t>
    </r>
  </si>
  <si>
    <t>Administração Central</t>
  </si>
  <si>
    <t>AC</t>
  </si>
  <si>
    <t>Seguro e Garantia</t>
  </si>
  <si>
    <t>SG</t>
  </si>
  <si>
    <t>Risco</t>
  </si>
  <si>
    <t>R</t>
  </si>
  <si>
    <t>Despesas Financeiras</t>
  </si>
  <si>
    <t>DF</t>
  </si>
  <si>
    <t>Lucro</t>
  </si>
  <si>
    <t>L</t>
  </si>
  <si>
    <t>Tributos (impostos COFINS 3%, e  PIS 0,65%)</t>
  </si>
  <si>
    <t>CP</t>
  </si>
  <si>
    <t>Tributos (ISS, variável de acordo com o município)</t>
  </si>
  <si>
    <t>ISS</t>
  </si>
  <si>
    <t>Tributos (Contribuição Previdenciária sobre a Receita Bruta - 0% ou 4,5% - Desoneração)</t>
  </si>
  <si>
    <t>CPRB</t>
  </si>
  <si>
    <t>BDI SEM desoneração (Fórmula Acórdão TCU)</t>
  </si>
  <si>
    <t>BDI PAD</t>
  </si>
  <si>
    <t>Os valores de BDI foram calculados com o emprego da fórmula:</t>
  </si>
  <si>
    <t>BDI =</t>
  </si>
  <si>
    <r>
      <rPr>
        <i/>
        <u/>
        <sz val="10"/>
        <rFont val="Calibri"/>
        <family val="2"/>
        <scheme val="minor"/>
      </rPr>
      <t>(1+AC + S + R + G)*(1 + DF)*(1+L)</t>
    </r>
    <r>
      <rPr>
        <i/>
        <sz val="10"/>
        <rFont val="Calibri"/>
        <family val="2"/>
        <scheme val="minor"/>
      </rPr>
      <t xml:space="preserve"> -1</t>
    </r>
  </si>
  <si>
    <t xml:space="preserve">               (1-CP-ISS-CRPB)</t>
  </si>
  <si>
    <t>Declaro para os devidos fins que, conforme legislação tributária municipal, a base de cálculo deste tipo de obra corresponde à 82,01%, com a respectiva alíquota de 3%.</t>
  </si>
  <si>
    <t>Declaro para os devidos fins que o regime de Contribuição Previdenciária sobre a Receita Bruta adotado para elaboração do orçamento foi SEM Desoneração, e que esta é a alternativa mais adequada para a Administração Pública.</t>
  </si>
  <si>
    <t>Observações:</t>
  </si>
  <si>
    <t>3.5</t>
  </si>
  <si>
    <t>2.5</t>
  </si>
  <si>
    <t>UN</t>
  </si>
  <si>
    <t>ADAPTADOR PVC ROSCAVEL, COM FLANGES E ANEL DE VEDACAO, 1/2", PARA CAIXA D' AGUA</t>
  </si>
  <si>
    <t>ADAPTADOR PVC SOLDAVEL, COM FLANGES LIVRES, 32 MM X 1", PARA CAIXA D' AGUA</t>
  </si>
  <si>
    <t>ADAPTADOR PVC SOLDAVEL, LONGO, COM FLANGE LIVRE, 25 MM X 3/4", PARA CAIXA D' AGUA</t>
  </si>
  <si>
    <t>ADESIVO PLASTICO PARA PVC, BISNAGA COM 75 GR</t>
  </si>
  <si>
    <t>JOELHO PVC, SOLDAVEL, 90 GRAUS, 32 MM, PARA AGUA FRIA PREDIAL</t>
  </si>
  <si>
    <t>FITA VEDA ROSCA EM ROLOS DE 18 MM X 10 M (L X C)</t>
  </si>
  <si>
    <t>TE SOLDAVEL, PVC, 90 GRAUS, 32 MM, PARA AGUA FRIA PREDIAL (NBR 5648)</t>
  </si>
  <si>
    <t>TUBO PVC, SOLDAVEL, DN 25 MM, AGUA FRIA (NBR-5648)</t>
  </si>
  <si>
    <t>TUBO PVC, SOLDAVEL, DN 32 MM, AGUA FRIA (NBR-5648)</t>
  </si>
  <si>
    <t>REGISTRO DE ESFERA, PVC, COM VOLANTE, VS, SOLDAVEL, DN 32 MM, COM CORPO DIVIDIDO</t>
  </si>
  <si>
    <t>TORNEIRA DE BOIA CONVENCIONAL PARA CAIXA D'AGUA, 1/2", COM HASTE E TORNEIRA METALICOS E BALAO PLASTICO</t>
  </si>
  <si>
    <t>AUXILIAR DE ENCANADOR OU BOMBEIRO HIDRÁULICO COM ENCARGOS COMPLEMENTARES</t>
  </si>
  <si>
    <t>ENCANADOR OU BOMBEIRO HIDRÁULICO COM ENCARGOS COMPLEMENTARES</t>
  </si>
  <si>
    <t>M2</t>
  </si>
  <si>
    <t>M3</t>
  </si>
  <si>
    <t>M</t>
  </si>
  <si>
    <t xml:space="preserve">LIMPEZA DE PISO CERÂMICO OU PORCELANATO COM PANO ÚMIDO. AF_04/2019 </t>
  </si>
  <si>
    <t>LIMPEZA DE REVESTIMENTO CERÂMICO EM PAREDE UTILIZANDO ÁCIDO MURIÁTICO. AF_04/2019</t>
  </si>
  <si>
    <t>FUNDAÇÕES</t>
  </si>
  <si>
    <t>2.6</t>
  </si>
  <si>
    <t>2.7</t>
  </si>
  <si>
    <t>2.8</t>
  </si>
  <si>
    <t>2.9</t>
  </si>
  <si>
    <t>TOTAL FUNDAÇÕES</t>
  </si>
  <si>
    <t>IMPERMEABILIZACAO DE ESTRUTURAS ENTERRADAS, COM TINTA ASFALTICA, DUAS DEMAOS</t>
  </si>
  <si>
    <t>TINTA ASFALTICA IMPERMEABILIZANTE DISPERSA EM AGUA, PARA MATERIAIS CIMENTICIOS</t>
  </si>
  <si>
    <t xml:space="preserve">SERVENTE COM ENCARGOS COMPLEMENTARES </t>
  </si>
  <si>
    <t>H</t>
  </si>
  <si>
    <t>ESTRUTURAS DE CONCRETO ARMADO</t>
  </si>
  <si>
    <t>4.4</t>
  </si>
  <si>
    <t>4.5</t>
  </si>
  <si>
    <t>4.6</t>
  </si>
  <si>
    <t>TOTAL ESTRUTURAS DE CONCRETO ARMADO</t>
  </si>
  <si>
    <t>5.2</t>
  </si>
  <si>
    <t>5.3</t>
  </si>
  <si>
    <t>5.4</t>
  </si>
  <si>
    <t>5.5</t>
  </si>
  <si>
    <t>5.7</t>
  </si>
  <si>
    <t>10.7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</si>
  <si>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</si>
  <si>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</si>
  <si>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</si>
  <si>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</si>
  <si>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</si>
  <si>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</si>
  <si>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</si>
  <si>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</si>
  <si>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11.11</t>
  </si>
  <si>
    <t>11.12</t>
  </si>
  <si>
    <t>11.13</t>
  </si>
  <si>
    <t>11.14</t>
  </si>
  <si>
    <t>11.15</t>
  </si>
  <si>
    <t>11.16</t>
  </si>
  <si>
    <t>12.1</t>
  </si>
  <si>
    <t>12.2</t>
  </si>
  <si>
    <t>12.3</t>
  </si>
  <si>
    <t>12.4</t>
  </si>
  <si>
    <t>12.5</t>
  </si>
  <si>
    <t>12.6</t>
  </si>
  <si>
    <t>13.1</t>
  </si>
  <si>
    <t>13.2</t>
  </si>
  <si>
    <t>KG</t>
  </si>
  <si>
    <t>TRAMA DE MADEIRA COMPOSTA POR TERÇAS PARA TELHADOS DE ATÉ 2 ÁGUAS PARA TELHA ONDULADA DE FIBROCIMENTO, METÁLICA, PLÁSTICA OU TERMOACÚSTICA, INCLUSO TRANSPORTE VERTICAL. AF_07/2019</t>
  </si>
  <si>
    <t>TELHAMENTO COM TELHA ONDULADA DE FIBROCIMENTO E = 6 MM, COM RECOBRIMENTO LATERAL DE 1/4 DE ONDA PARA TELHADO COM INCLINAÇÃO MAIOR QUE 10°, COM ATÉ 2 ÁGUAS, INCLUSO IÇAMENTO. AF_07/2019</t>
  </si>
  <si>
    <t>CUMEEIRA PARA TELHA DE FIBROCIMENTO ONDULADA E = 6 MM, INCLUSO ACESSÓRIOS DE FIXAÇÃO E IÇAMENTO. AF_07/2019</t>
  </si>
  <si>
    <t>FORRO EM RÉGUAS DE PVC, FRISADO, PARA AMBIENTES RESIDENCIAIS, INCLUSIVE ESTRUTURA DE FIXAÇÃO. AF_05/2017_P</t>
  </si>
  <si>
    <t>ACABAMENTOS PARA FORRO (RODA-FORRO EM PERFIL METÁLICO E PLÁSTICO). AF_ 05/2017</t>
  </si>
  <si>
    <t>PINTURA IMUNIZANTE PARA MADEIRA, 2 DEMÃOS. AF_01/2021</t>
  </si>
  <si>
    <t>CONTRAPISO EM ARGAMASSA TRAÇO 1:4 (CIMENTO E AREIA), PREPARO MECÂNICO COM BETONEIRA 400 L, APLICADO EM ÁREAS SECAS SOBRE LAJE, NÃO ADERIDO, ESPESSURA 6CM. AF_06/2014</t>
  </si>
  <si>
    <t>KIT DE ACESSORIOS PARA BANHEIRO EM METAL CROMADO, 5 PECAS, INCLUSO FIXAÇÃO. AF_01/2020</t>
  </si>
  <si>
    <t>PONTO DE CONSUMO TERMINAL DE ÁGUA FRIA (SUBRAMAL) COM TUBULAÇÃO DE PVC, DN 25 MM, INSTALADO EM RAMAL DE ÁGUA, INCLUSOS RASGO E CHUMBAMENTO EM ALVENARIA. AF_12/2014</t>
  </si>
  <si>
    <t>KIT DE REGISTRO DE GAVETA BRUTO DE LATÃO ½", INCLUSIVE CONEXÕES, ROSCÁVEL, INSTALADO EM RAMAL DE ÁGUA FRIA - FORNECIMENTO E INSTALAÇÃO. AF_12/2014</t>
  </si>
  <si>
    <t>TUBO PVC, SERIE NORMAL, ESGOTO PREDIAL, DN 40 MM, FORNECIDO E INSTALADO EM RAMAL DE DESCARGA OU RAMAL DE ESGOTO SANITÁRIO. AF_12/2014</t>
  </si>
  <si>
    <t>TUBO PVC, SERIE NORMAL, ESGOTO PREDIAL, DN 50 MM, FORNECIDO E INSTALADO EM RAMAL DE DESCARGA OU RAMAL DE ESGOTO SANITÁRIO. AF_12/2014</t>
  </si>
  <si>
    <t>TUBO PVC, SERIE NORMAL, ESGOTO PREDIAL, DN 75 MM, FORNECIDO E INSTALADO EM RAMAL DE DESCARGA OU RAMAL DE ESGOTO SANITÁRIO. AF_12/2014</t>
  </si>
  <si>
    <t>TUBO PVC, SERIE NORMAL, ESGOTO PREDIAL, DN 100 MM, FORNECIDO E INSTALADO EM RAMAL DE DESCARGA OU RAMAL DE ESGOTO SANITÁRIO. AF_12/2014</t>
  </si>
  <si>
    <t>CAIXA SIFONADA, PVC, DN 100 X 100 X 50 MM, FORNECIDA E INSTALADA EM RAMAIS DE ENCAMINHAMENTO DE ÁGUA PLUVIAL. AF_12/2014</t>
  </si>
  <si>
    <t>CAIXA DE CONCRETO ARMADO PRE-MOLDADO, COM FUNDO E TAMPA, DIMENSOES DE 0,60 X 0,60 X 0,50 M</t>
  </si>
  <si>
    <t>PONTO DE ILUMINAÇÃO E TOMADA, RESIDENCIAL, INCLUINDO INTERRUPTOR SIMPLES E TOMADA 10A/250V, CAIXA ELÉTRICA, ELETRODUTO, CABO, RASGO, QUEBRA E CHUMBAMENTO (EXCLUINDO LUMINÁRIA E LÂMPADA). AF_01/2016</t>
  </si>
  <si>
    <t>DISJUNTOR MONOPOLAR TIPO NEMA, CORRENTE NOMINAL DE 10 ATÉ 30A - FORNECIMENTO E INSTALAÇÃO. AF_10/2020</t>
  </si>
  <si>
    <t>QUADRO DE DISTRIBUIÇÃO DE ENERGIA EM CHAPA DE AÇO GALVANIZADO, DE EMBUTIR, COM BARRAMENTO TRIFÁSICO, PARA 12 DISJUNTORES DIN 100A - FORNECIMENTO E INSTALAÇÃO. AF_10/2020</t>
  </si>
  <si>
    <t>LASTRO DE CONCRETO MAGRO, APLICADO EM BLOCOS DE COROAMENTO OU SAPATAS, ESPESSURA DE 5 CM. AF_08/2017</t>
  </si>
  <si>
    <t>ESCAVAÇÃO MANUAL DE VIGA DE BORDA PARA RADIER. AF_09/2017</t>
  </si>
  <si>
    <t>FABRICAÇÃO, MONTAGEM E DESMONTAGEM DE FÔRMA PARA SAPATA, EM MADEIRA SERRADA, E=25 MM, 2 UTILIZAÇÕES. AF_06/2017</t>
  </si>
  <si>
    <t>FABRICAÇÃO, MONTAGEM E DESMONTAGEM DE FÔRMA PARA VIGA BALDRAME, EM MADEIRA SERRADA, E=25 MM, 2 UTILIZAÇÕES. AF_06/2017</t>
  </si>
  <si>
    <t>ARMAÇÃO DE BLOCO, VIGA BALDRAME E SAPATA UTILIZANDO AÇO CA-60 DE 5 MM - MONTAGEM. AF_06/2017</t>
  </si>
  <si>
    <t>ARMAÇÃO DE BLOCO, VIGA BALDRAME OU SAPATA UTILIZANDO AÇO CA-50 DE 6,3 MM - MONTAGEM. AF_06/2017</t>
  </si>
  <si>
    <t>LANÇAMENTO COM USO DE BALDES, ADENSAMENTO E ACABAMENTO DE CONCRETO EM ESTRUTURAS. AF_12/2015</t>
  </si>
  <si>
    <t>REATERRO MANUAL APILOADO COM SOQUETE. AF_10/2017</t>
  </si>
  <si>
    <t>MONTAGEM E DESMONTAGEM DE FÔRMA DE PILARES RETANGULARES E ESTRUTURAS SIMILARES, PÉ-DIREITO SIMPLES, EM MADEIRA SERRADA, 4 UTILIZAÇÕES. AF_09/2020</t>
  </si>
  <si>
    <t>CONCRETO FCK = 20MPA, TRAÇO 1:2,7:3 (EM MASSA SECA DE CIMENTO/ AREIA MÉDIA/ BRITA 1) - PREPARO MECÂNICO COM BETONEIRA 600 L. AF_05/2021</t>
  </si>
  <si>
    <t>REGISTRO DE ESFERA, PVC, SOLDÁVEL, DN 25 MM, INSTALADO EM RESERVAÇÃO DE ÁGUA DE EDIFICAÇÃO QUE POSSUA RESERVATÓRIO DE FIBRA/FIBROCIMENTO FORNECIMENTO E INSTALAÇÃO. AF_06/2016</t>
  </si>
  <si>
    <t>1.2</t>
  </si>
  <si>
    <t>LOCAÇÃO CONVENCIONAL DE OBRA COM TÁBUA CORRIDA</t>
  </si>
  <si>
    <t>Descrição Obra/Serviços de Ampliação e Reforma da Escola da Vila 12 de Maio</t>
  </si>
  <si>
    <t>Ampliação e Reforma da Escola da Vila 12 de Maio</t>
  </si>
  <si>
    <t>3.1</t>
  </si>
  <si>
    <t>DEMOLIÇÃO DE ALVENARIA DE BLOCO FURADO, DE FORMA MANUAL, SEM REAPROVEITAMENTO. AF_12/2017</t>
  </si>
  <si>
    <t>VERGA MOLDADA IN LOCO EM CONCRETO PARA JANELAS COM MAIS DE 1,5 M DE VÃO. AF_03/2016</t>
  </si>
  <si>
    <t>3.6</t>
  </si>
  <si>
    <t>3.7</t>
  </si>
  <si>
    <t>KIT DE PORTA DE MADEIRA PARA PINTURA, SEMI-OCA (LEVE OU MÉDIA), PADRÃO POPULAR, 90X210CM, ESPESSURA DE 3,5CM, ITENS INCLUSOS: DOBRADIÇAS, MONTAGEM E INSTALAÇÃO DO BATENTE, FECHADURA COM EXECUÇÃO DO FURO - FORNECIMENTO E INSTALAÇÃO. AF_12/2019</t>
  </si>
  <si>
    <t>2.10</t>
  </si>
  <si>
    <t>DIVISORIA SANITÁRIA COM PORTA, TIPO CABINE, EM PAINEL DE GRANILITE, ESP = 3CM, ASSENTADO COM ARGAMASSA COLANTE AC III-E, EXCLUSIVE FERRAGENS. AF_01/2021</t>
  </si>
  <si>
    <t>PORTA PARA DIVISÓRIA</t>
  </si>
  <si>
    <t>4.7</t>
  </si>
  <si>
    <t>4.8</t>
  </si>
  <si>
    <t>MONTAGEM E DESMONTAGEM DE FÔRMA DE VIGA, ESCORAMENTO COM PONTALETE DE MADEIRA, PÉ-DIREITO SIMPLES, EM MADEIRA SERRADA, 4 UTILIZAÇÕES. AF_09/2020</t>
  </si>
  <si>
    <t>REMOÇÃO DE FORROS DE DRYWALL, PVC E FIBROMINERAL, DE FORMA MANUAL, SEM REAPROVEITAMENTO. AF_12/2017</t>
  </si>
  <si>
    <t>5.11</t>
  </si>
  <si>
    <t>5.12</t>
  </si>
  <si>
    <t>5.13</t>
  </si>
  <si>
    <t>5.14</t>
  </si>
  <si>
    <t>REMOÇÃO DE TELHAS, DE FIBROCIMENTO, METÁLICA E CERÂMICA, DE FORMA MANUAL, SEM REAPROVEITAMENTO. AF_12/2017</t>
  </si>
  <si>
    <t>REMOÇÃO DE TESOURAS DE MADEIRA, COM VÃO MENOR QUE 8M, DE FORMA MANUAL,SEM REAPROVEITAMENTO. AF_12/2017</t>
  </si>
  <si>
    <t>REMOÇÃO DE TRAMA DE MADEIRA PARA COBERTURA, DE FORMA MANUAL, SEM REAPROVEITAMENTO. AF_12/2017</t>
  </si>
  <si>
    <t>VIDRO TEMPERADO INCOLOR E = 10 MM</t>
  </si>
  <si>
    <t>CALHA EM CHAPA DE AÇO GALVANIZADO NÚMERO 24, DESENVOLVIMENTO DE 50 CM, INCLUSO TRANSPORTE VERTICAL. AF_07/2019</t>
  </si>
  <si>
    <t>CHAPISCO APLICADO NO TETO, COM DESEMPENADEIRA DENTADA. ARGAMASSA INDUSTRIALIZADA COM PREPARO MANUAL. AF_06/2014</t>
  </si>
  <si>
    <t>JANELA DE ALUMÍNIO DE CORRER COM 4 FOLHAS PARA VIDROS, COM VIDROS, BATENTE, ACABAMENTO COM ACETATO OU BRILHANTE E FERRAGENS. FORNECIMENTO E INSTALAÇÃO. AF_12/2019</t>
  </si>
  <si>
    <t>PONTO DE ILUMINAÇÃO RESIDENCIAL INCLUINDO INTERRUPTOR SIMPLES, CAIXA ELÉTRICA, ELETRODUTO, CABO, RASGO, QUEBRA E CHUMBAMENTO (EXCLUINDO LUMINÁRIA E LÂMPADA). AF_01/2016</t>
  </si>
  <si>
    <t>PONTO DE ILUMINAÇÃO RESIDENCIAL INCLUINDO INTERRUPTOR SIMPLES (2 MÓDULOS), CAIXA ELÉTRICA, ELETRODUTO, CABO, RASGO, QUEBRA E CHUMBAMENTO (EXCLUINDO LUMINÁRIA E LÂMPADA). AF_01/2016</t>
  </si>
  <si>
    <t>PONTO DE ILUMINAÇÃO RESIDENCIAL INCLUINDO INTERRUPTOR SIMPLES (3 MÓDULOS), CAIXA ELÉTRICA, ELETRODUTO, CABO, RASGO, QUEBRA E CHUMBAMENTO (EXCLUINDO LUMINÁRIA E LÂMPADA).</t>
  </si>
  <si>
    <t>PONTO DE TOMADA RESIDENCIAL INCLUINDO TOMADA 20A/250V, CAIXA ELÉTRICA, ELETRODUTO, CABO, RASGO, QUEBRA E CHUMBAMENTO. AF_01/2016</t>
  </si>
  <si>
    <t>10.8</t>
  </si>
  <si>
    <t>10.9</t>
  </si>
  <si>
    <t>10.10</t>
  </si>
  <si>
    <t>10.11</t>
  </si>
  <si>
    <t>TOMADA DE REDE RJ45 - FORNECIMENTO E INSTALAÇÃO. AF_11/2019</t>
  </si>
  <si>
    <t>TOMADA PARA TELEFONE RJ11 - FORNECIMENTO E INSTALAÇÃO. AF_11/2019</t>
  </si>
  <si>
    <t>LUMINÁRIA TIPO PLAFON, DE SOBREPOR, COM 1 LÂMPADA LED DE 12/13 W, SEM REATOR - FORNECIMENTO E INSTALAÇÃO. AF_02/2020</t>
  </si>
  <si>
    <t>DISJUNTOR BIPOLAR TIPO NEMA, CORRENTE NOMINAL DE 10 ATÉ 50A - FORNECIMENTO E INSTALAÇÃO. AF_10/2020</t>
  </si>
  <si>
    <t>6.4</t>
  </si>
  <si>
    <t>3.3</t>
  </si>
  <si>
    <t>5.8</t>
  </si>
  <si>
    <t>8.1</t>
  </si>
  <si>
    <t>8.5</t>
  </si>
  <si>
    <t>9.1</t>
  </si>
  <si>
    <t>9.2</t>
  </si>
  <si>
    <t>VASO SANITÁRIO INFANTIL LOUÇA BRANCA - FORNECIMENTO E INSTALACAO. AF_01/2020</t>
  </si>
  <si>
    <t xml:space="preserve">ASSENTO SANITÁRIO INFANTIL - FORNECIMENTO E INSTALACAO. AF_01/2020 </t>
  </si>
  <si>
    <t>ASSENTO SANITÁRIO CONVENCIONAL - FORNECIMENTO E INSTALACAO. AF_01/2020</t>
  </si>
  <si>
    <t>11.17</t>
  </si>
  <si>
    <t>11.18</t>
  </si>
  <si>
    <t>11.19</t>
  </si>
  <si>
    <t>CAIXA D'AGUA EM POLIETILENO 2000 LITROS, COM TAMPA</t>
  </si>
  <si>
    <t>CAIXA D´ÁGUA EM POLIETILENO, 2000 LITROS, COM ACESSÓRIOS</t>
  </si>
  <si>
    <t>TANQUE SÉPTICO CIRCULAR, EM CONCRETO PRÉ-MOLDADO, DIÂMETRO INTERNO = 1,88 M, ALTURA INTERNA = 2,50 M, VOLUME ÚTIL: 6245,8 L (PARA 32 CONTRIBUINTES). AF_12/2020</t>
  </si>
  <si>
    <t>FILTRO ANAERÓBIO CIRCULAR, EM CONCRETO PRÉ-MOLDADO, DIÂMETRO INTERNO =2,38 M, ALTURA INTERNA = 1,50 M, VOLUME ÚTIL: 5338,6 L (PARA 34 CONTRIBUINTES). AF_12/2020</t>
  </si>
  <si>
    <t>SUMIDOURO CIRCULAR, EM CONCRETO PRÉ-MOLDADO, DIÂMETRO INTERNO = 1,88 M, ALTURA INTERNA = 2,00 M, ÁREA DE INFILTRAÇÃO: 13,1 M² (PARA 5 CONTRIBUINTES). AF_12/2020</t>
  </si>
  <si>
    <t>CAIXA DE GORDURA SIMPLES (CAPACIDADE: 36L), RETANGULAR, EM ALVENARIA COM TIJOLOS CERÂMICOS MACIÇOS, DIMENSÕES INTERNAS = 0,2X0,4 M, ALTURA INTERNA = 0,8 M. AF_12/2020</t>
  </si>
  <si>
    <t>11.20</t>
  </si>
  <si>
    <t>13.3</t>
  </si>
  <si>
    <t>RASGO EM ALVENARIA PARA ELETRODUTOS COM DIAMETROS MENORES OU IGUAIS A 40 MM. AF_05/2015</t>
  </si>
  <si>
    <t>QUEBRA EM ALVENARIA PARA INSTALAÇÃO DE CAIXA DE TOMADA (4X4 OU 4X2). AF_05/2015</t>
  </si>
  <si>
    <t>CHUMBAMENTO LINEAR EM ALVENARIA PARA RAMAIS/DISTRIBUIÇÃO COM DIÂMETROS MENORES OU IGUAIS A 40 MM. AF_05/2015</t>
  </si>
  <si>
    <t>ELETRODUTO FLEXÍVEL CORRUGADO, PVC, DN 20 MM (1/2"), PARA CIRCUITOS TERMINAIS, INSTALADO EM LAJE - FORNECIMENTO E INSTALAÇÃO. AF_12/2015</t>
  </si>
  <si>
    <t>ELETRODUTO FLEXÍVEL CORRUGADO, PVC, DN 20 MM (1/2"), PARA CIRCUITOS TERMINAIS, INSTALADO EM PAREDE - FORNECIMENTO E INSTALAÇÃO. AF_12/2015</t>
  </si>
  <si>
    <t>CABO DE COBRE FLEXÍVEL ISOLADO, 1,5 MM², ANTI-CHAMA 450/750 V, PARA CIRCUITOS TERMINAIS - FORNECIMENTO E INSTALAÇÃO. AF_12/2015</t>
  </si>
  <si>
    <t>CAIXA OCTOGONAL 3" X 3", PVC, INSTALADA EM LAJE - FORNECIMENTO E INSTALAÇÃO. AF_12/2015</t>
  </si>
  <si>
    <t>CAIXA RETANGULAR 4" X 2" MÉDIA (1,30 M DO PISO), PVC, INSTALADA EM PAREDE - FORNECIMENTO E INSTALAÇÃO. AF_12/2015</t>
  </si>
  <si>
    <t>PONTO DE ILUMINAÇÃO RESIDENCIAL INCLUINDO INTERRUPTOR SIMPLES (3 MÓDULOS), CAIXA ELÉTRICA, ELETRODUTO, CABO, RASGO, QUEBRA E CHUMBAMENTO (EXCLUINDO LUMINÁRIA E LÂMPADA). AF_01/2016</t>
  </si>
  <si>
    <t>COMP. 2</t>
  </si>
  <si>
    <t>INTERRUPTOR SIMPLES (3 MÓDULOS), 10A/250V, INCLUINDO SUPORTE E PLACA - FORNECIMENTO E INSTALAÇÃO. AF_12/2015</t>
  </si>
  <si>
    <t>COMP. 1</t>
  </si>
  <si>
    <t>ARMAÇÃO DE PILAR OU VIGA DE UMA ESTRUTURA CONVENCIONAL DE CONCRETO ARMADO EM UMA EDIFICAÇÃO TÉRREA OU SOBRADO UTILIZANDO AÇO CA-60 DE 5,0 MM- MONTAGEM. AF_12/2015</t>
  </si>
  <si>
    <t>ARMAÇÃO DE PILAR OU VIGA DE UMA ESTRUTURA CONVENCIONAL DE CONCRETO ARMADO EM UMA EDIFICAÇÃO TÉRREA OU SOBRADO UTILIZANDO AÇO CA-50 DE 6,3 MM - MONTAGEM. AF_12/2015</t>
  </si>
  <si>
    <t>ARMAÇÃO DE PILAR OU VIGA DE UMA ESTRUTURA CONVENCIONAL DE CONCRETO ARMADO EM UMA EDIFICAÇÃO TÉRREA OU SOBRADO UTILIZANDO AÇO CA-50 DE 10,0 MM - MONTAGEM. AF_12/2015</t>
  </si>
  <si>
    <t>FABRICAÇÃO E INSTALAÇÃO DE MEIA TESOURA DE MADEIRA NÃO APARELHADA, COM VÃO DE 3 M, PARA TELHA ONDULADA DE FIBROCIMENTO, ALUMÍNIO, PLÁSTICA OU TERMOACÚSTICA, INCLUSO IÇAMENTO. AF_07/2019</t>
  </si>
  <si>
    <t>FABRICAÇÃO E INSTALAÇÃO DE MEIA TESOURA DE MADEIRA NÃO APARELHADA, COM VÃO DE 7 M, PARA TELHA ONDULADA DE FIBROCIMENTO, ALUMÍNIO, PLÁSTICA OU TERMOACÚSTICA, INCLUSO IÇAMENTO. AF_07/2019</t>
  </si>
  <si>
    <t>5.15</t>
  </si>
  <si>
    <t>5.16</t>
  </si>
  <si>
    <t>RUFO EM CHAPA DE AÇO GALVANIZADO NÚMERO 24, CORTE DE 25 CM, INCLUSO TRANSPORTE VERTICAL. AF_07/2019</t>
  </si>
  <si>
    <t>9.3</t>
  </si>
  <si>
    <t>EXECUÇÃO E COMPACTAÇÃO DE ATERRO COM SOLO PREDOMINANTEMENTE ARENOSO - EXCLUSIVE SOLO, ESCAVAÇÃO, CARGA E TRANSPORTE. AF_11/2019</t>
  </si>
  <si>
    <t>LAJE PRÉ-MOLDADA UNIDIRECIONAL, BIAPOIADA, PARA FORRO, ENCHIMENTO EM CERÂMICA, VIGOTA CONVENCIONAL, ALTURA TOTAL DA LAJE (ENCHIMENTO+CAPA) = (8+3). AF_11/2020</t>
  </si>
  <si>
    <t>Descrição</t>
  </si>
  <si>
    <t>Valor (R$)</t>
  </si>
  <si>
    <t>%</t>
  </si>
  <si>
    <t>Total:</t>
  </si>
  <si>
    <t>Período:</t>
  </si>
  <si>
    <t>%:</t>
  </si>
  <si>
    <t>Repasse:</t>
  </si>
  <si>
    <t>Contrapartida:</t>
  </si>
  <si>
    <t>Outros:</t>
  </si>
  <si>
    <t>-</t>
  </si>
  <si>
    <t>Investimento:</t>
  </si>
  <si>
    <t>Acumulado:</t>
  </si>
  <si>
    <t>1
09/21</t>
  </si>
  <si>
    <t>2
10/21</t>
  </si>
  <si>
    <t>3
11/21</t>
  </si>
  <si>
    <t>4
12/21</t>
  </si>
  <si>
    <t>5
01/22</t>
  </si>
  <si>
    <t>SERVIÇOS COMPLEMENTARES (limpeza/arremates/portão de entrada lateral)</t>
  </si>
  <si>
    <t>FABRICAÇÃO E INSTALAÇÃO DE MEIA TESOURA DE MADEIRA NÃO APARELHADA, COM VÃO DE 5 M, PARA TELHA ONDULADA DE FIBROCIMENTO, ALUMÍNIO, PLÁSTICA OU TERMOACÚSTICA, INCLUSO IÇAMENTO. AF_07/2019</t>
  </si>
  <si>
    <t>GRADIL EM FERRO FIXADO EM VÃOS DE JANELAS, FORMADO POR BARRAS CHATAS DE 25X4,8 MM. AF_04/2019</t>
  </si>
  <si>
    <t>PINTURA COM TINTA ALQUÍDICA DE FUNDO (TIPO ZARCÃO) APLICADA A ROLO OUPINCEL SOBRE SUPERFÍCIES METÁLICAS (EXCETO PERFIL) EXECUTADO EM OBRA (POR DEMÃO). AF_01/2020</t>
  </si>
  <si>
    <t>13.4</t>
  </si>
  <si>
    <t>13.5</t>
  </si>
  <si>
    <t>LIXAMENTO MANUAL EM SUPERFÍCIES METÁLICAS EM OBRA. AF_01/2020</t>
  </si>
  <si>
    <t>13.6</t>
  </si>
  <si>
    <t>PINTURA COM TINTA ALQUÍDICA DE ACABAMENTO (ESMALTE SINTÉTICO BRILHANTE ) APLICADA A ROLO OU PINCEL SOBRE SUPERFÍCIES METÁLICAS (EXCETO PERFIL) EXECUTADO EM OBRA (02 DEMÃOS). AF_01/2020</t>
  </si>
  <si>
    <t>5.6</t>
  </si>
  <si>
    <t>5.9</t>
  </si>
  <si>
    <t>5.10</t>
  </si>
  <si>
    <t>8.4</t>
  </si>
  <si>
    <t>ALVENARIA DE VEDAÇÃO DE BLOCOS CERÂMICOS FURADOS NA VERTICAL DE 9X19X39CM (ESPESSURA 9CM) DE PAREDES COM ÁREA LÍQUIDA MENOR QUE 6M² SEM VÃOS E ARGAMASSA DE ASSENTAMENTO COM PREPARO MANUAL. AF_06/2014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</si>
</sst>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R$&quot;\ * #,##0.00_-;\-&quot;R$&quot;\ * #,##0.00_-;_-&quot;R$&quot;\ * &quot;-&quot;??_-;_-@_-"/>
    <numFmt numFmtId="165" formatCode="_-* #,##0.00_-;\-* #,##0.00_-;_-* &quot;-&quot;??_-;_-@_-"/>
    <numFmt numFmtId="166" formatCode="&quot;R$&quot;#,##0.00"/>
    <numFmt numFmtId="167" formatCode="_-* #,##0.0000000_-;\-* #,##0.0000000_-;_-* &quot;-&quot;??_-;_-@_-"/>
    <numFmt numFmtId="168" formatCode="&quot;R$&quot;\ #,##0.00"/>
  </numFmts>
  <fonts count="20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3F3F76"/>
      <name val="Calibri"/>
      <family val="2"/>
      <scheme val="minor"/>
    </font>
    <font>
      <sz val="10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2"/>
      <name val="Calibri"/>
      <family val="2"/>
      <scheme val="minor"/>
    </font>
    <font>
      <i/>
      <sz val="10"/>
      <name val="Calibri"/>
      <family val="2"/>
      <scheme val="minor"/>
    </font>
    <font>
      <i/>
      <u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99"/>
      </patternFill>
    </fill>
    <fill>
      <patternFill patternType="solid">
        <fgColor rgb="FFFFFF99"/>
      </patternFill>
    </fill>
    <fill>
      <patternFill patternType="solid">
        <fgColor rgb="FF959595"/>
      </patternFill>
    </fill>
    <fill>
      <patternFill patternType="solid">
        <fgColor rgb="FF9999FF"/>
      </patternFill>
    </fill>
    <fill>
      <patternFill patternType="solid">
        <fgColor rgb="FFBFBFBF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indexed="64"/>
      </top>
      <bottom style="thin">
        <color rgb="FF3F3F3F"/>
      </bottom>
      <diagonal/>
    </border>
    <border>
      <left style="thin">
        <color rgb="FF3F3F3F"/>
      </left>
      <right/>
      <top style="thin">
        <color indexed="64"/>
      </top>
      <bottom style="thin">
        <color rgb="FF3F3F3F"/>
      </bottom>
      <diagonal/>
    </border>
    <border>
      <left/>
      <right/>
      <top style="thin">
        <color indexed="64"/>
      </top>
      <bottom style="thin">
        <color rgb="FF3F3F3F"/>
      </bottom>
      <diagonal/>
    </border>
    <border>
      <left/>
      <right style="thin">
        <color rgb="FF3F3F3F"/>
      </right>
      <top style="thin">
        <color indexed="64"/>
      </top>
      <bottom style="thin">
        <color rgb="FF3F3F3F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3F3F3F"/>
      </left>
      <right/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7F7F7F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indexed="64"/>
      </bottom>
      <diagonal/>
    </border>
  </borders>
  <cellStyleXfs count="11">
    <xf numFmtId="0" fontId="0" fillId="0" borderId="0"/>
    <xf numFmtId="0" fontId="1" fillId="2" borderId="1" applyNumberFormat="0" applyAlignment="0" applyProtection="0"/>
    <xf numFmtId="0" fontId="3" fillId="5" borderId="3" applyNumberFormat="0" applyAlignment="0" applyProtection="0"/>
    <xf numFmtId="165" fontId="6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94">
    <xf numFmtId="0" fontId="0" fillId="0" borderId="0" xfId="0"/>
    <xf numFmtId="0" fontId="4" fillId="2" borderId="1" xfId="1" applyFont="1" applyAlignment="1">
      <alignment horizontal="center" vertical="center"/>
    </xf>
    <xf numFmtId="10" fontId="5" fillId="3" borderId="1" xfId="1" applyNumberFormat="1" applyFont="1" applyFill="1" applyAlignment="1">
      <alignment horizontal="center" vertical="center"/>
    </xf>
    <xf numFmtId="0" fontId="4" fillId="2" borderId="1" xfId="1" applyFont="1" applyAlignment="1">
      <alignment horizontal="left" vertical="center"/>
    </xf>
    <xf numFmtId="0" fontId="4" fillId="2" borderId="1" xfId="1" applyFont="1" applyAlignment="1">
      <alignment horizontal="lef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166" fontId="0" fillId="0" borderId="0" xfId="0" applyNumberFormat="1" applyFont="1" applyAlignment="1">
      <alignment horizontal="right" vertical="center"/>
    </xf>
    <xf numFmtId="166" fontId="0" fillId="0" borderId="0" xfId="0" applyNumberFormat="1" applyAlignment="1">
      <alignment vertical="center"/>
    </xf>
    <xf numFmtId="166" fontId="0" fillId="0" borderId="0" xfId="0" applyNumberFormat="1" applyAlignment="1">
      <alignment horizontal="right" vertical="center"/>
    </xf>
    <xf numFmtId="4" fontId="0" fillId="0" borderId="0" xfId="0" applyNumberFormat="1" applyAlignment="1">
      <alignment horizontal="center" vertical="center"/>
    </xf>
    <xf numFmtId="0" fontId="10" fillId="0" borderId="0" xfId="4" applyFont="1" applyFill="1" applyBorder="1" applyAlignment="1">
      <alignment vertical="top"/>
    </xf>
    <xf numFmtId="0" fontId="11" fillId="0" borderId="0" xfId="5" applyFont="1" applyFill="1" applyBorder="1" applyAlignment="1">
      <alignment horizontal="left" vertical="top"/>
    </xf>
    <xf numFmtId="0" fontId="12" fillId="0" borderId="0" xfId="4" applyFont="1" applyFill="1" applyBorder="1" applyAlignment="1">
      <alignment vertical="top"/>
    </xf>
    <xf numFmtId="0" fontId="11" fillId="0" borderId="0" xfId="4" applyFont="1" applyFill="1" applyBorder="1" applyAlignment="1">
      <alignment vertical="top"/>
    </xf>
    <xf numFmtId="0" fontId="11" fillId="0" borderId="0" xfId="5" applyFont="1" applyFill="1" applyBorder="1" applyAlignment="1">
      <alignment horizontal="left" vertical="top" wrapText="1"/>
    </xf>
    <xf numFmtId="0" fontId="4" fillId="0" borderId="0" xfId="5" applyFont="1" applyFill="1" applyBorder="1" applyAlignment="1">
      <alignment horizontal="center" vertical="top" wrapText="1"/>
    </xf>
    <xf numFmtId="0" fontId="7" fillId="0" borderId="27" xfId="5" applyFont="1" applyFill="1" applyBorder="1" applyAlignment="1">
      <alignment horizontal="center" vertical="top" wrapText="1"/>
    </xf>
    <xf numFmtId="0" fontId="7" fillId="0" borderId="0" xfId="5" applyFont="1" applyFill="1" applyBorder="1" applyAlignment="1">
      <alignment horizontal="center" vertical="top" wrapText="1"/>
    </xf>
    <xf numFmtId="0" fontId="7" fillId="0" borderId="15" xfId="5" applyFont="1" applyFill="1" applyBorder="1" applyAlignment="1">
      <alignment horizontal="center" vertical="top" wrapText="1"/>
    </xf>
    <xf numFmtId="0" fontId="7" fillId="0" borderId="10" xfId="5" applyFont="1" applyFill="1" applyBorder="1" applyAlignment="1">
      <alignment horizontal="center" vertical="center" wrapText="1"/>
    </xf>
    <xf numFmtId="0" fontId="11" fillId="0" borderId="10" xfId="5" applyFont="1" applyFill="1" applyBorder="1" applyAlignment="1">
      <alignment horizontal="center" vertical="center" wrapText="1"/>
    </xf>
    <xf numFmtId="0" fontId="4" fillId="0" borderId="16" xfId="5" applyFont="1" applyFill="1" applyBorder="1" applyAlignment="1">
      <alignment horizontal="center" vertical="top" wrapText="1"/>
    </xf>
    <xf numFmtId="10" fontId="11" fillId="6" borderId="16" xfId="5" applyNumberFormat="1" applyFont="1" applyFill="1" applyBorder="1" applyAlignment="1">
      <alignment horizontal="center" vertical="top" shrinkToFit="1"/>
    </xf>
    <xf numFmtId="0" fontId="4" fillId="0" borderId="9" xfId="5" applyFont="1" applyFill="1" applyBorder="1" applyAlignment="1">
      <alignment horizontal="center" vertical="top" wrapText="1"/>
    </xf>
    <xf numFmtId="10" fontId="11" fillId="6" borderId="9" xfId="5" applyNumberFormat="1" applyFont="1" applyFill="1" applyBorder="1" applyAlignment="1">
      <alignment horizontal="center" vertical="top" shrinkToFit="1"/>
    </xf>
    <xf numFmtId="10" fontId="11" fillId="0" borderId="9" xfId="5" applyNumberFormat="1" applyFont="1" applyFill="1" applyBorder="1" applyAlignment="1">
      <alignment horizontal="center" vertical="top" shrinkToFit="1"/>
    </xf>
    <xf numFmtId="10" fontId="11" fillId="0" borderId="0" xfId="7" applyNumberFormat="1" applyFont="1" applyFill="1" applyBorder="1" applyAlignment="1">
      <alignment horizontal="center" vertical="top"/>
    </xf>
    <xf numFmtId="0" fontId="4" fillId="0" borderId="0" xfId="5" applyFont="1" applyFill="1" applyBorder="1" applyAlignment="1">
      <alignment horizontal="right" vertical="center" wrapText="1" indent="1"/>
    </xf>
    <xf numFmtId="0" fontId="11" fillId="0" borderId="0" xfId="5" applyFont="1" applyFill="1" applyBorder="1" applyAlignment="1">
      <alignment vertical="top" wrapText="1"/>
    </xf>
    <xf numFmtId="0" fontId="15" fillId="0" borderId="28" xfId="5" applyFont="1" applyFill="1" applyBorder="1" applyAlignment="1">
      <alignment horizontal="left" vertical="top"/>
    </xf>
    <xf numFmtId="0" fontId="4" fillId="0" borderId="14" xfId="5" applyFont="1" applyFill="1" applyBorder="1" applyAlignment="1">
      <alignment horizontal="left" vertical="top" wrapText="1"/>
    </xf>
    <xf numFmtId="0" fontId="4" fillId="0" borderId="29" xfId="5" applyFont="1" applyFill="1" applyBorder="1" applyAlignment="1">
      <alignment horizontal="left" vertical="top" wrapText="1"/>
    </xf>
    <xf numFmtId="0" fontId="4" fillId="0" borderId="11" xfId="5" applyFont="1" applyFill="1" applyBorder="1" applyAlignment="1">
      <alignment horizontal="left" vertical="top" wrapText="1"/>
    </xf>
    <xf numFmtId="0" fontId="4" fillId="0" borderId="0" xfId="5" applyFont="1" applyFill="1" applyBorder="1" applyAlignment="1">
      <alignment horizontal="left" vertical="center" wrapText="1"/>
    </xf>
    <xf numFmtId="0" fontId="13" fillId="0" borderId="0" xfId="5" applyFont="1" applyFill="1" applyBorder="1" applyAlignment="1">
      <alignment horizontal="left" vertical="top"/>
    </xf>
    <xf numFmtId="0" fontId="0" fillId="0" borderId="0" xfId="0" applyFont="1" applyAlignment="1">
      <alignment horizontal="center" vertical="center"/>
    </xf>
    <xf numFmtId="10" fontId="5" fillId="3" borderId="10" xfId="1" applyNumberFormat="1" applyFont="1" applyFill="1" applyBorder="1" applyAlignment="1">
      <alignment horizontal="center" vertic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17" fillId="0" borderId="10" xfId="0" applyFont="1" applyBorder="1"/>
    <xf numFmtId="0" fontId="17" fillId="0" borderId="10" xfId="0" applyFont="1" applyBorder="1" applyAlignment="1">
      <alignment horizontal="center"/>
    </xf>
    <xf numFmtId="167" fontId="17" fillId="0" borderId="10" xfId="3" applyNumberFormat="1" applyFont="1" applyBorder="1"/>
    <xf numFmtId="165" fontId="17" fillId="0" borderId="10" xfId="3" applyFont="1" applyBorder="1"/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 vertical="center"/>
    </xf>
    <xf numFmtId="167" fontId="17" fillId="0" borderId="10" xfId="3" applyNumberFormat="1" applyFont="1" applyBorder="1" applyAlignment="1">
      <alignment vertical="center"/>
    </xf>
    <xf numFmtId="165" fontId="17" fillId="0" borderId="10" xfId="3" applyFont="1" applyBorder="1" applyAlignment="1">
      <alignment vertical="center"/>
    </xf>
    <xf numFmtId="0" fontId="4" fillId="2" borderId="10" xfId="1" applyFont="1" applyBorder="1" applyAlignment="1">
      <alignment horizontal="center" vertical="center"/>
    </xf>
    <xf numFmtId="165" fontId="4" fillId="2" borderId="10" xfId="3" applyFont="1" applyFill="1" applyBorder="1" applyAlignment="1">
      <alignment horizontal="center" vertical="center"/>
    </xf>
    <xf numFmtId="0" fontId="18" fillId="4" borderId="1" xfId="1" applyFont="1" applyFill="1" applyAlignment="1">
      <alignment horizontal="center" vertical="center"/>
    </xf>
    <xf numFmtId="0" fontId="18" fillId="4" borderId="1" xfId="1" applyFont="1" applyFill="1" applyAlignment="1">
      <alignment horizontal="left" vertical="center" wrapText="1"/>
    </xf>
    <xf numFmtId="165" fontId="18" fillId="4" borderId="1" xfId="3" applyFont="1" applyFill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30" xfId="0" applyFont="1" applyBorder="1" applyAlignment="1">
      <alignment wrapText="1"/>
    </xf>
    <xf numFmtId="167" fontId="17" fillId="0" borderId="30" xfId="3" applyNumberFormat="1" applyFont="1" applyBorder="1" applyAlignment="1">
      <alignment vertical="center"/>
    </xf>
    <xf numFmtId="165" fontId="17" fillId="0" borderId="30" xfId="3" applyFont="1" applyBorder="1" applyAlignment="1">
      <alignment vertical="center"/>
    </xf>
    <xf numFmtId="164" fontId="8" fillId="5" borderId="3" xfId="9" applyFont="1" applyFill="1" applyBorder="1" applyAlignment="1">
      <alignment vertical="center"/>
    </xf>
    <xf numFmtId="164" fontId="4" fillId="2" borderId="10" xfId="9" applyFont="1" applyFill="1" applyBorder="1" applyAlignment="1">
      <alignment horizontal="center" vertical="center"/>
    </xf>
    <xf numFmtId="0" fontId="4" fillId="2" borderId="10" xfId="1" applyFont="1" applyBorder="1" applyAlignment="1">
      <alignment horizontal="left" vertical="center" wrapText="1"/>
    </xf>
    <xf numFmtId="165" fontId="0" fillId="0" borderId="0" xfId="3" applyFont="1" applyAlignment="1">
      <alignment vertical="center"/>
    </xf>
    <xf numFmtId="165" fontId="0" fillId="0" borderId="0" xfId="0" applyNumberFormat="1" applyAlignment="1">
      <alignment vertical="center"/>
    </xf>
    <xf numFmtId="10" fontId="13" fillId="0" borderId="9" xfId="10" applyNumberFormat="1" applyFont="1" applyFill="1" applyBorder="1" applyAlignment="1">
      <alignment horizontal="center" vertical="top" shrinkToFit="1"/>
    </xf>
    <xf numFmtId="165" fontId="4" fillId="2" borderId="1" xfId="3" applyFont="1" applyFill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165" fontId="4" fillId="2" borderId="0" xfId="3" applyFont="1" applyFill="1" applyBorder="1" applyAlignment="1">
      <alignment horizontal="center" vertical="center"/>
    </xf>
    <xf numFmtId="164" fontId="8" fillId="5" borderId="31" xfId="9" applyFont="1" applyFill="1" applyBorder="1" applyAlignment="1">
      <alignment vertical="center"/>
    </xf>
    <xf numFmtId="0" fontId="4" fillId="2" borderId="2" xfId="1" applyFont="1" applyBorder="1" applyAlignment="1">
      <alignment horizontal="center" vertical="center"/>
    </xf>
    <xf numFmtId="0" fontId="4" fillId="2" borderId="4" xfId="1" applyFont="1" applyBorder="1" applyAlignment="1">
      <alignment horizontal="left" vertical="center" wrapText="1"/>
    </xf>
    <xf numFmtId="0" fontId="4" fillId="2" borderId="4" xfId="1" applyFont="1" applyBorder="1" applyAlignment="1">
      <alignment horizontal="center" vertical="center"/>
    </xf>
    <xf numFmtId="165" fontId="4" fillId="2" borderId="4" xfId="3" applyFont="1" applyFill="1" applyBorder="1" applyAlignment="1">
      <alignment horizontal="center" vertical="center"/>
    </xf>
    <xf numFmtId="165" fontId="17" fillId="0" borderId="30" xfId="3" applyFont="1" applyBorder="1" applyAlignment="1">
      <alignment vertical="center" wrapText="1"/>
    </xf>
    <xf numFmtId="0" fontId="11" fillId="0" borderId="0" xfId="4" applyFont="1" applyFill="1" applyBorder="1" applyAlignment="1">
      <alignment horizontal="left" vertical="top"/>
    </xf>
    <xf numFmtId="0" fontId="7" fillId="0" borderId="0" xfId="4" applyFont="1" applyFill="1" applyBorder="1" applyAlignment="1">
      <alignment vertical="top"/>
    </xf>
    <xf numFmtId="0" fontId="7" fillId="0" borderId="0" xfId="4" applyFont="1" applyFill="1" applyBorder="1" applyAlignment="1">
      <alignment horizontal="left" vertical="top"/>
    </xf>
    <xf numFmtId="0" fontId="7" fillId="0" borderId="6" xfId="5" applyFont="1" applyFill="1" applyBorder="1" applyAlignment="1">
      <alignment horizontal="center" vertical="center"/>
    </xf>
    <xf numFmtId="0" fontId="13" fillId="0" borderId="7" xfId="4" applyFont="1" applyFill="1" applyBorder="1" applyAlignment="1">
      <alignment horizontal="center" vertical="center"/>
    </xf>
    <xf numFmtId="0" fontId="13" fillId="0" borderId="8" xfId="4" applyFont="1" applyFill="1" applyBorder="1" applyAlignment="1">
      <alignment horizontal="center" vertical="center"/>
    </xf>
    <xf numFmtId="0" fontId="7" fillId="6" borderId="32" xfId="5" applyFont="1" applyFill="1" applyBorder="1" applyAlignment="1">
      <alignment horizontal="center" vertical="center" wrapText="1"/>
    </xf>
    <xf numFmtId="0" fontId="7" fillId="0" borderId="32" xfId="5" applyFont="1" applyFill="1" applyBorder="1" applyAlignment="1">
      <alignment horizontal="center" vertical="center" wrapText="1"/>
    </xf>
    <xf numFmtId="0" fontId="7" fillId="0" borderId="33" xfId="5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horizontal="center" vertical="center"/>
    </xf>
    <xf numFmtId="0" fontId="11" fillId="0" borderId="36" xfId="5" applyFont="1" applyFill="1" applyBorder="1" applyAlignment="1">
      <alignment horizontal="left" wrapText="1"/>
    </xf>
    <xf numFmtId="10" fontId="11" fillId="0" borderId="0" xfId="4" applyNumberFormat="1" applyFont="1" applyFill="1" applyBorder="1" applyAlignment="1">
      <alignment horizontal="left" vertical="top"/>
    </xf>
    <xf numFmtId="0" fontId="7" fillId="0" borderId="0" xfId="5" applyFont="1" applyFill="1" applyBorder="1" applyAlignment="1">
      <alignment horizontal="center" vertical="top"/>
    </xf>
    <xf numFmtId="10" fontId="11" fillId="9" borderId="32" xfId="5" applyNumberFormat="1" applyFont="1" applyFill="1" applyBorder="1" applyAlignment="1">
      <alignment horizontal="right" vertical="top" shrinkToFit="1"/>
    </xf>
    <xf numFmtId="0" fontId="11" fillId="9" borderId="33" xfId="5" applyFont="1" applyFill="1" applyBorder="1" applyAlignment="1">
      <alignment horizontal="left" wrapText="1"/>
    </xf>
    <xf numFmtId="168" fontId="7" fillId="0" borderId="0" xfId="8" applyNumberFormat="1" applyFont="1" applyFill="1" applyBorder="1" applyAlignment="1">
      <alignment horizontal="center" vertical="top"/>
    </xf>
    <xf numFmtId="4" fontId="11" fillId="0" borderId="9" xfId="5" applyNumberFormat="1" applyFont="1" applyFill="1" applyBorder="1" applyAlignment="1">
      <alignment horizontal="right" vertical="top" shrinkToFit="1"/>
    </xf>
    <xf numFmtId="0" fontId="7" fillId="0" borderId="0" xfId="5" applyFont="1" applyFill="1" applyBorder="1" applyAlignment="1">
      <alignment vertical="top"/>
    </xf>
    <xf numFmtId="4" fontId="11" fillId="9" borderId="9" xfId="5" applyNumberFormat="1" applyFont="1" applyFill="1" applyBorder="1" applyAlignment="1">
      <alignment horizontal="right" vertical="top" shrinkToFit="1"/>
    </xf>
    <xf numFmtId="0" fontId="11" fillId="9" borderId="9" xfId="5" applyFont="1" applyFill="1" applyBorder="1" applyAlignment="1">
      <alignment horizontal="left" wrapText="1"/>
    </xf>
    <xf numFmtId="0" fontId="11" fillId="9" borderId="36" xfId="5" applyFont="1" applyFill="1" applyBorder="1" applyAlignment="1">
      <alignment horizontal="left" wrapText="1"/>
    </xf>
    <xf numFmtId="0" fontId="4" fillId="0" borderId="9" xfId="5" applyFont="1" applyFill="1" applyBorder="1" applyAlignment="1">
      <alignment horizontal="right" vertical="top" wrapText="1" indent="1"/>
    </xf>
    <xf numFmtId="4" fontId="13" fillId="9" borderId="9" xfId="5" applyNumberFormat="1" applyFont="1" applyFill="1" applyBorder="1" applyAlignment="1">
      <alignment horizontal="right" vertical="top" shrinkToFit="1"/>
    </xf>
    <xf numFmtId="10" fontId="11" fillId="9" borderId="9" xfId="5" applyNumberFormat="1" applyFont="1" applyFill="1" applyBorder="1" applyAlignment="1">
      <alignment horizontal="right" vertical="top" shrinkToFit="1"/>
    </xf>
    <xf numFmtId="4" fontId="13" fillId="9" borderId="43" xfId="5" applyNumberFormat="1" applyFont="1" applyFill="1" applyBorder="1" applyAlignment="1">
      <alignment horizontal="right" vertical="top" shrinkToFit="1"/>
    </xf>
    <xf numFmtId="0" fontId="11" fillId="9" borderId="44" xfId="5" applyFont="1" applyFill="1" applyBorder="1" applyAlignment="1">
      <alignment horizontal="left" wrapText="1"/>
    </xf>
    <xf numFmtId="0" fontId="13" fillId="0" borderId="0" xfId="4" applyFont="1" applyFill="1" applyBorder="1" applyAlignment="1">
      <alignment horizontal="left" vertical="top"/>
    </xf>
    <xf numFmtId="10" fontId="11" fillId="8" borderId="11" xfId="7" applyNumberFormat="1" applyFont="1" applyFill="1" applyBorder="1" applyAlignment="1">
      <alignment horizontal="center" vertical="top" shrinkToFit="1"/>
    </xf>
    <xf numFmtId="165" fontId="19" fillId="0" borderId="11" xfId="5" applyNumberFormat="1" applyFont="1" applyFill="1" applyBorder="1" applyAlignment="1">
      <alignment horizontal="left" wrapText="1"/>
    </xf>
    <xf numFmtId="0" fontId="7" fillId="4" borderId="49" xfId="1" applyFont="1" applyFill="1" applyBorder="1" applyAlignment="1">
      <alignment horizontal="center" vertical="center"/>
    </xf>
    <xf numFmtId="0" fontId="7" fillId="4" borderId="50" xfId="1" applyFont="1" applyFill="1" applyBorder="1" applyAlignment="1">
      <alignment vertical="center"/>
    </xf>
    <xf numFmtId="0" fontId="7" fillId="4" borderId="51" xfId="1" applyFont="1" applyFill="1" applyBorder="1" applyAlignment="1">
      <alignment vertical="center"/>
    </xf>
    <xf numFmtId="0" fontId="7" fillId="4" borderId="52" xfId="1" applyFont="1" applyFill="1" applyBorder="1" applyAlignment="1">
      <alignment vertical="center"/>
    </xf>
    <xf numFmtId="0" fontId="7" fillId="0" borderId="53" xfId="5" applyFont="1" applyFill="1" applyBorder="1" applyAlignment="1">
      <alignment horizontal="center" vertical="center"/>
    </xf>
    <xf numFmtId="166" fontId="5" fillId="3" borderId="1" xfId="1" applyNumberFormat="1" applyFont="1" applyFill="1" applyAlignment="1">
      <alignment horizontal="center" vertical="center"/>
    </xf>
    <xf numFmtId="166" fontId="5" fillId="3" borderId="10" xfId="1" applyNumberFormat="1" applyFont="1" applyFill="1" applyBorder="1" applyAlignment="1">
      <alignment horizontal="center" vertical="center"/>
    </xf>
    <xf numFmtId="165" fontId="4" fillId="2" borderId="54" xfId="3" applyFont="1" applyFill="1" applyBorder="1" applyAlignment="1">
      <alignment horizontal="center" vertical="center"/>
    </xf>
    <xf numFmtId="0" fontId="4" fillId="2" borderId="54" xfId="1" applyFont="1" applyBorder="1" applyAlignment="1">
      <alignment horizontal="center" vertical="center"/>
    </xf>
    <xf numFmtId="165" fontId="4" fillId="2" borderId="55" xfId="3" applyFont="1" applyFill="1" applyBorder="1" applyAlignment="1">
      <alignment horizontal="center" vertical="center"/>
    </xf>
    <xf numFmtId="0" fontId="4" fillId="2" borderId="55" xfId="1" applyFont="1" applyBorder="1" applyAlignment="1">
      <alignment horizontal="center" vertical="center"/>
    </xf>
    <xf numFmtId="0" fontId="4" fillId="2" borderId="55" xfId="1" applyFont="1" applyBorder="1" applyAlignment="1">
      <alignment horizontal="left" vertical="center" wrapText="1"/>
    </xf>
    <xf numFmtId="164" fontId="8" fillId="5" borderId="58" xfId="9" applyFont="1" applyFill="1" applyBorder="1" applyAlignment="1">
      <alignment vertical="center"/>
    </xf>
    <xf numFmtId="165" fontId="4" fillId="2" borderId="59" xfId="3" applyFont="1" applyFill="1" applyBorder="1" applyAlignment="1">
      <alignment horizontal="center" vertical="center"/>
    </xf>
    <xf numFmtId="0" fontId="4" fillId="2" borderId="1" xfId="1" applyFont="1" applyBorder="1" applyAlignment="1">
      <alignment horizontal="center" vertical="center"/>
    </xf>
    <xf numFmtId="0" fontId="4" fillId="2" borderId="1" xfId="1" applyFont="1" applyBorder="1" applyAlignment="1">
      <alignment horizontal="left" vertical="center" wrapText="1"/>
    </xf>
    <xf numFmtId="0" fontId="4" fillId="2" borderId="59" xfId="1" applyFont="1" applyBorder="1" applyAlignment="1">
      <alignment horizontal="center" vertical="center"/>
    </xf>
    <xf numFmtId="0" fontId="4" fillId="2" borderId="59" xfId="1" applyFont="1" applyBorder="1" applyAlignment="1">
      <alignment horizontal="left" vertical="center" wrapText="1"/>
    </xf>
    <xf numFmtId="166" fontId="5" fillId="3" borderId="10" xfId="1" applyNumberFormat="1" applyFont="1" applyFill="1" applyBorder="1" applyAlignment="1">
      <alignment horizontal="center" vertical="center" wrapText="1"/>
    </xf>
    <xf numFmtId="166" fontId="5" fillId="3" borderId="10" xfId="1" applyNumberFormat="1" applyFont="1" applyFill="1" applyBorder="1" applyAlignment="1">
      <alignment horizontal="center" vertical="center"/>
    </xf>
    <xf numFmtId="0" fontId="8" fillId="5" borderId="3" xfId="2" applyFont="1" applyAlignment="1">
      <alignment horizontal="right" vertical="center"/>
    </xf>
    <xf numFmtId="0" fontId="5" fillId="3" borderId="10" xfId="1" applyFont="1" applyFill="1" applyBorder="1" applyAlignment="1">
      <alignment horizontal="center" vertical="center"/>
    </xf>
    <xf numFmtId="0" fontId="5" fillId="3" borderId="10" xfId="1" applyFont="1" applyFill="1" applyBorder="1" applyAlignment="1">
      <alignment horizontal="center" vertical="center" wrapText="1"/>
    </xf>
    <xf numFmtId="4" fontId="5" fillId="3" borderId="10" xfId="1" applyNumberFormat="1" applyFont="1" applyFill="1" applyBorder="1" applyAlignment="1">
      <alignment horizontal="center" vertical="center"/>
    </xf>
    <xf numFmtId="0" fontId="8" fillId="5" borderId="31" xfId="2" applyFont="1" applyBorder="1" applyAlignment="1">
      <alignment horizontal="right" vertical="center"/>
    </xf>
    <xf numFmtId="0" fontId="5" fillId="3" borderId="1" xfId="1" applyFont="1" applyFill="1" applyAlignment="1">
      <alignment horizontal="center" vertical="center"/>
    </xf>
    <xf numFmtId="4" fontId="5" fillId="3" borderId="1" xfId="1" applyNumberFormat="1" applyFont="1" applyFill="1" applyAlignment="1">
      <alignment horizontal="center" vertical="center"/>
    </xf>
    <xf numFmtId="166" fontId="5" fillId="3" borderId="1" xfId="1" applyNumberFormat="1" applyFont="1" applyFill="1" applyAlignment="1">
      <alignment horizontal="center" vertical="center"/>
    </xf>
    <xf numFmtId="166" fontId="5" fillId="3" borderId="4" xfId="1" applyNumberFormat="1" applyFont="1" applyFill="1" applyBorder="1" applyAlignment="1">
      <alignment horizontal="center" vertical="center" wrapText="1"/>
    </xf>
    <xf numFmtId="166" fontId="5" fillId="3" borderId="5" xfId="1" applyNumberFormat="1" applyFont="1" applyFill="1" applyBorder="1" applyAlignment="1">
      <alignment horizontal="center" vertical="center" wrapText="1"/>
    </xf>
    <xf numFmtId="166" fontId="5" fillId="3" borderId="4" xfId="1" applyNumberFormat="1" applyFont="1" applyFill="1" applyBorder="1" applyAlignment="1">
      <alignment horizontal="center" vertical="center"/>
    </xf>
    <xf numFmtId="166" fontId="5" fillId="3" borderId="5" xfId="1" applyNumberFormat="1" applyFont="1" applyFill="1" applyBorder="1" applyAlignment="1">
      <alignment horizontal="center" vertical="center"/>
    </xf>
    <xf numFmtId="0" fontId="8" fillId="5" borderId="56" xfId="2" applyFont="1" applyBorder="1" applyAlignment="1">
      <alignment horizontal="right" vertical="center"/>
    </xf>
    <xf numFmtId="0" fontId="8" fillId="5" borderId="57" xfId="2" applyFont="1" applyBorder="1" applyAlignment="1">
      <alignment horizontal="right" vertical="center"/>
    </xf>
    <xf numFmtId="0" fontId="7" fillId="7" borderId="34" xfId="5" applyFont="1" applyFill="1" applyBorder="1" applyAlignment="1">
      <alignment horizontal="left" vertical="top" wrapText="1"/>
    </xf>
    <xf numFmtId="0" fontId="7" fillId="7" borderId="0" xfId="5" applyFont="1" applyFill="1" applyBorder="1" applyAlignment="1">
      <alignment horizontal="left" vertical="center" wrapText="1"/>
    </xf>
    <xf numFmtId="165" fontId="7" fillId="7" borderId="35" xfId="6" applyFont="1" applyFill="1" applyBorder="1" applyAlignment="1">
      <alignment horizontal="left" vertical="center" wrapText="1"/>
    </xf>
    <xf numFmtId="10" fontId="7" fillId="7" borderId="10" xfId="10" applyNumberFormat="1" applyFont="1" applyFill="1" applyBorder="1" applyAlignment="1">
      <alignment horizontal="center" vertical="center" wrapText="1"/>
    </xf>
    <xf numFmtId="0" fontId="7" fillId="7" borderId="37" xfId="5" applyFont="1" applyFill="1" applyBorder="1" applyAlignment="1">
      <alignment horizontal="left" vertical="top" wrapText="1"/>
    </xf>
    <xf numFmtId="0" fontId="7" fillId="7" borderId="38" xfId="5" applyFont="1" applyFill="1" applyBorder="1" applyAlignment="1">
      <alignment horizontal="left" vertical="center" wrapText="1"/>
    </xf>
    <xf numFmtId="165" fontId="7" fillId="7" borderId="39" xfId="6" applyFont="1" applyFill="1" applyBorder="1" applyAlignment="1">
      <alignment horizontal="left" vertical="center" wrapText="1"/>
    </xf>
    <xf numFmtId="0" fontId="7" fillId="7" borderId="40" xfId="5" applyFont="1" applyFill="1" applyBorder="1" applyAlignment="1">
      <alignment horizontal="left" vertical="top" wrapText="1"/>
    </xf>
    <xf numFmtId="0" fontId="7" fillId="7" borderId="41" xfId="5" applyFont="1" applyFill="1" applyBorder="1" applyAlignment="1">
      <alignment horizontal="left" vertical="center" wrapText="1"/>
    </xf>
    <xf numFmtId="165" fontId="7" fillId="7" borderId="42" xfId="6" applyFont="1" applyFill="1" applyBorder="1" applyAlignment="1">
      <alignment horizontal="left" vertical="center" wrapText="1"/>
    </xf>
    <xf numFmtId="0" fontId="4" fillId="9" borderId="45" xfId="5" applyFont="1" applyFill="1" applyBorder="1" applyAlignment="1">
      <alignment horizontal="center" vertical="center" wrapText="1"/>
    </xf>
    <xf numFmtId="0" fontId="4" fillId="9" borderId="46" xfId="5" applyFont="1" applyFill="1" applyBorder="1" applyAlignment="1">
      <alignment horizontal="center" vertical="center" wrapText="1"/>
    </xf>
    <xf numFmtId="0" fontId="4" fillId="9" borderId="12" xfId="5" applyFont="1" applyFill="1" applyBorder="1" applyAlignment="1">
      <alignment horizontal="center" vertical="top" wrapText="1"/>
    </xf>
    <xf numFmtId="0" fontId="4" fillId="9" borderId="13" xfId="5" applyFont="1" applyFill="1" applyBorder="1" applyAlignment="1">
      <alignment horizontal="center" vertical="top" wrapText="1"/>
    </xf>
    <xf numFmtId="0" fontId="4" fillId="0" borderId="14" xfId="5" applyFont="1" applyFill="1" applyBorder="1" applyAlignment="1">
      <alignment horizontal="center" vertical="center" wrapText="1"/>
    </xf>
    <xf numFmtId="0" fontId="4" fillId="0" borderId="11" xfId="5" applyFont="1" applyFill="1" applyBorder="1" applyAlignment="1">
      <alignment horizontal="center" vertical="center" wrapText="1"/>
    </xf>
    <xf numFmtId="0" fontId="4" fillId="9" borderId="14" xfId="5" applyFont="1" applyFill="1" applyBorder="1" applyAlignment="1">
      <alignment horizontal="center" vertical="center" wrapText="1"/>
    </xf>
    <xf numFmtId="0" fontId="4" fillId="9" borderId="11" xfId="5" applyFont="1" applyFill="1" applyBorder="1" applyAlignment="1">
      <alignment horizontal="center" vertical="center" wrapText="1"/>
    </xf>
    <xf numFmtId="0" fontId="7" fillId="9" borderId="14" xfId="5" applyFont="1" applyFill="1" applyBorder="1" applyAlignment="1">
      <alignment horizontal="center" vertical="center" wrapText="1"/>
    </xf>
    <xf numFmtId="0" fontId="7" fillId="9" borderId="11" xfId="5" applyFont="1" applyFill="1" applyBorder="1" applyAlignment="1">
      <alignment horizontal="center" vertical="center" wrapText="1"/>
    </xf>
    <xf numFmtId="0" fontId="4" fillId="9" borderId="47" xfId="5" applyFont="1" applyFill="1" applyBorder="1" applyAlignment="1">
      <alignment horizontal="center" vertical="center" wrapText="1"/>
    </xf>
    <xf numFmtId="0" fontId="4" fillId="9" borderId="48" xfId="5" applyFont="1" applyFill="1" applyBorder="1" applyAlignment="1">
      <alignment horizontal="center" vertical="center" wrapText="1"/>
    </xf>
    <xf numFmtId="0" fontId="7" fillId="9" borderId="25" xfId="5" applyFont="1" applyFill="1" applyBorder="1" applyAlignment="1">
      <alignment horizontal="center" vertical="center" wrapText="1"/>
    </xf>
    <xf numFmtId="0" fontId="7" fillId="9" borderId="24" xfId="5" applyFont="1" applyFill="1" applyBorder="1" applyAlignment="1">
      <alignment horizontal="center" vertical="center" wrapText="1"/>
    </xf>
    <xf numFmtId="0" fontId="4" fillId="0" borderId="22" xfId="5" applyFont="1" applyFill="1" applyBorder="1" applyAlignment="1">
      <alignment horizontal="center" vertical="top" wrapText="1"/>
    </xf>
    <xf numFmtId="0" fontId="4" fillId="0" borderId="23" xfId="5" applyFont="1" applyFill="1" applyBorder="1" applyAlignment="1">
      <alignment horizontal="center" vertical="top" wrapText="1"/>
    </xf>
    <xf numFmtId="0" fontId="4" fillId="0" borderId="24" xfId="5" applyFont="1" applyFill="1" applyBorder="1" applyAlignment="1">
      <alignment horizontal="center" vertical="top" wrapText="1"/>
    </xf>
    <xf numFmtId="10" fontId="11" fillId="6" borderId="25" xfId="5" applyNumberFormat="1" applyFont="1" applyFill="1" applyBorder="1" applyAlignment="1">
      <alignment horizontal="center" vertical="top" shrinkToFit="1"/>
    </xf>
    <xf numFmtId="10" fontId="11" fillId="6" borderId="26" xfId="5" applyNumberFormat="1" applyFont="1" applyFill="1" applyBorder="1" applyAlignment="1">
      <alignment horizontal="center" vertical="top" shrinkToFit="1"/>
    </xf>
    <xf numFmtId="0" fontId="10" fillId="0" borderId="0" xfId="4" applyFont="1" applyFill="1" applyBorder="1" applyAlignment="1">
      <alignment horizontal="center" vertical="top"/>
    </xf>
    <xf numFmtId="0" fontId="12" fillId="0" borderId="0" xfId="4" applyFont="1" applyFill="1" applyBorder="1" applyAlignment="1">
      <alignment horizontal="center" vertical="top"/>
    </xf>
    <xf numFmtId="0" fontId="11" fillId="0" borderId="0" xfId="4" applyFont="1" applyFill="1" applyBorder="1" applyAlignment="1">
      <alignment horizontal="center" vertical="top"/>
    </xf>
    <xf numFmtId="0" fontId="4" fillId="0" borderId="17" xfId="5" applyFont="1" applyFill="1" applyBorder="1" applyAlignment="1">
      <alignment horizontal="center" vertical="top" wrapText="1"/>
    </xf>
    <xf numFmtId="0" fontId="4" fillId="0" borderId="18" xfId="5" applyFont="1" applyFill="1" applyBorder="1" applyAlignment="1">
      <alignment horizontal="center" vertical="top" wrapText="1"/>
    </xf>
    <xf numFmtId="0" fontId="4" fillId="0" borderId="19" xfId="5" applyFont="1" applyFill="1" applyBorder="1" applyAlignment="1">
      <alignment horizontal="center" vertical="top" wrapText="1"/>
    </xf>
    <xf numFmtId="10" fontId="11" fillId="6" borderId="20" xfId="5" applyNumberFormat="1" applyFont="1" applyFill="1" applyBorder="1" applyAlignment="1">
      <alignment horizontal="center" vertical="top" shrinkToFit="1"/>
    </xf>
    <xf numFmtId="10" fontId="11" fillId="6" borderId="21" xfId="5" applyNumberFormat="1" applyFont="1" applyFill="1" applyBorder="1" applyAlignment="1">
      <alignment horizontal="center" vertical="top" shrinkToFit="1"/>
    </xf>
    <xf numFmtId="0" fontId="4" fillId="0" borderId="0" xfId="5" applyFont="1" applyFill="1" applyBorder="1" applyAlignment="1">
      <alignment horizontal="left" vertical="top" wrapText="1"/>
    </xf>
    <xf numFmtId="0" fontId="14" fillId="0" borderId="6" xfId="5" applyFont="1" applyFill="1" applyBorder="1" applyAlignment="1">
      <alignment horizontal="center" vertical="top" wrapText="1"/>
    </xf>
    <xf numFmtId="0" fontId="14" fillId="0" borderId="7" xfId="5" applyFont="1" applyFill="1" applyBorder="1" applyAlignment="1">
      <alignment horizontal="center" vertical="top" wrapText="1"/>
    </xf>
    <xf numFmtId="0" fontId="14" fillId="0" borderId="8" xfId="5" applyFont="1" applyFill="1" applyBorder="1" applyAlignment="1">
      <alignment horizontal="center" vertical="top" wrapText="1"/>
    </xf>
    <xf numFmtId="0" fontId="7" fillId="0" borderId="10" xfId="5" applyFont="1" applyFill="1" applyBorder="1" applyAlignment="1">
      <alignment horizontal="center" vertical="center" wrapText="1"/>
    </xf>
    <xf numFmtId="0" fontId="4" fillId="0" borderId="12" xfId="5" applyFont="1" applyFill="1" applyBorder="1" applyAlignment="1">
      <alignment horizontal="center" vertical="top" wrapText="1"/>
    </xf>
    <xf numFmtId="0" fontId="4" fillId="0" borderId="28" xfId="5" applyFont="1" applyFill="1" applyBorder="1" applyAlignment="1">
      <alignment horizontal="center" vertical="top" wrapText="1"/>
    </xf>
    <xf numFmtId="0" fontId="4" fillId="0" borderId="13" xfId="5" applyFont="1" applyFill="1" applyBorder="1" applyAlignment="1">
      <alignment horizontal="center" vertical="top" wrapText="1"/>
    </xf>
    <xf numFmtId="0" fontId="4" fillId="0" borderId="14" xfId="5" applyFont="1" applyFill="1" applyBorder="1" applyAlignment="1">
      <alignment horizontal="center" vertical="top" wrapText="1"/>
    </xf>
    <xf numFmtId="0" fontId="4" fillId="0" borderId="29" xfId="5" applyFont="1" applyFill="1" applyBorder="1" applyAlignment="1">
      <alignment horizontal="center" vertical="top" wrapText="1"/>
    </xf>
    <xf numFmtId="0" fontId="4" fillId="0" borderId="11" xfId="5" applyFont="1" applyFill="1" applyBorder="1" applyAlignment="1">
      <alignment horizontal="center" vertical="top" wrapText="1"/>
    </xf>
    <xf numFmtId="0" fontId="11" fillId="6" borderId="14" xfId="5" applyFont="1" applyFill="1" applyBorder="1" applyAlignment="1">
      <alignment horizontal="left" vertical="top" wrapText="1"/>
    </xf>
    <xf numFmtId="0" fontId="11" fillId="6" borderId="29" xfId="5" applyFont="1" applyFill="1" applyBorder="1" applyAlignment="1">
      <alignment horizontal="left" vertical="top" wrapText="1"/>
    </xf>
    <xf numFmtId="0" fontId="11" fillId="6" borderId="11" xfId="5" applyFont="1" applyFill="1" applyBorder="1" applyAlignment="1">
      <alignment horizontal="left" vertical="top" wrapText="1"/>
    </xf>
    <xf numFmtId="0" fontId="4" fillId="0" borderId="0" xfId="5" applyFont="1" applyFill="1" applyBorder="1" applyAlignment="1">
      <alignment horizontal="center" vertical="top" wrapText="1"/>
    </xf>
    <xf numFmtId="0" fontId="15" fillId="0" borderId="0" xfId="5" applyFont="1" applyFill="1" applyBorder="1" applyAlignment="1">
      <alignment horizontal="left" vertical="top"/>
    </xf>
    <xf numFmtId="0" fontId="4" fillId="0" borderId="14" xfId="5" applyFont="1" applyFill="1" applyBorder="1" applyAlignment="1">
      <alignment horizontal="left" vertical="center" wrapText="1"/>
    </xf>
    <xf numFmtId="0" fontId="4" fillId="0" borderId="29" xfId="5" applyFont="1" applyFill="1" applyBorder="1" applyAlignment="1">
      <alignment horizontal="left" vertical="center" wrapText="1"/>
    </xf>
    <xf numFmtId="0" fontId="4" fillId="0" borderId="11" xfId="5" applyFont="1" applyFill="1" applyBorder="1" applyAlignment="1">
      <alignment horizontal="left" vertical="center" wrapText="1"/>
    </xf>
    <xf numFmtId="0" fontId="4" fillId="0" borderId="0" xfId="5" applyFont="1" applyFill="1" applyBorder="1" applyAlignment="1">
      <alignment horizontal="left" vertical="top" wrapText="1" indent="1"/>
    </xf>
  </cellXfs>
  <cellStyles count="11">
    <cellStyle name="Entrada" xfId="2" builtinId="20"/>
    <cellStyle name="Moeda" xfId="9" builtinId="4"/>
    <cellStyle name="Moeda 2" xfId="8"/>
    <cellStyle name="Normal" xfId="0" builtinId="0"/>
    <cellStyle name="Normal 2" xfId="5"/>
    <cellStyle name="Normal 3" xfId="4"/>
    <cellStyle name="Porcentagem" xfId="10" builtinId="5"/>
    <cellStyle name="Porcentagem 2" xfId="7"/>
    <cellStyle name="Saída" xfId="1" builtinId="21"/>
    <cellStyle name="Vírgula" xfId="3" builtinId="3"/>
    <cellStyle name="Vírgula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457200</xdr:colOff>
      <xdr:row>144</xdr:row>
      <xdr:rowOff>47625</xdr:rowOff>
    </xdr:from>
    <xdr:ext cx="2714625" cy="781240"/>
    <xdr:sp macro="" textlink="">
      <xdr:nvSpPr>
        <xdr:cNvPr id="2" name="CaixaDeTexto 1"/>
        <xdr:cNvSpPr txBox="1"/>
      </xdr:nvSpPr>
      <xdr:spPr>
        <a:xfrm>
          <a:off x="1571625" y="48006000"/>
          <a:ext cx="2714625" cy="781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Eng. Civil José Marcos Sampaio da Costa CREA-RS: 75.415-D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pt-BR" sz="1100"/>
        </a:p>
      </xdr:txBody>
    </xdr:sp>
    <xdr:clientData/>
  </xdr:oneCellAnchor>
  <xdr:oneCellAnchor>
    <xdr:from>
      <xdr:col>4</xdr:col>
      <xdr:colOff>0</xdr:colOff>
      <xdr:row>144</xdr:row>
      <xdr:rowOff>47625</xdr:rowOff>
    </xdr:from>
    <xdr:ext cx="2714625" cy="781240"/>
    <xdr:sp macro="" textlink="">
      <xdr:nvSpPr>
        <xdr:cNvPr id="3" name="CaixaDeTexto 2"/>
        <xdr:cNvSpPr txBox="1"/>
      </xdr:nvSpPr>
      <xdr:spPr>
        <a:xfrm>
          <a:off x="5772150" y="48006000"/>
          <a:ext cx="2714625" cy="781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Arq. e Urbanista Alessandro Garcia Soares CAU-RS: A143804-2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pt-BR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666750</xdr:colOff>
      <xdr:row>42</xdr:row>
      <xdr:rowOff>85725</xdr:rowOff>
    </xdr:from>
    <xdr:ext cx="2714625" cy="781240"/>
    <xdr:sp macro="" textlink="">
      <xdr:nvSpPr>
        <xdr:cNvPr id="2" name="CaixaDeTexto 1"/>
        <xdr:cNvSpPr txBox="1"/>
      </xdr:nvSpPr>
      <xdr:spPr>
        <a:xfrm>
          <a:off x="666750" y="8077200"/>
          <a:ext cx="2714625" cy="781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Eng. Civil José Marcos Sampaio da Costa CREA-RS: 75.415-D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pt-BR" sz="1100"/>
        </a:p>
      </xdr:txBody>
    </xdr:sp>
    <xdr:clientData/>
  </xdr:oneCellAnchor>
  <xdr:oneCellAnchor>
    <xdr:from>
      <xdr:col>3</xdr:col>
      <xdr:colOff>695325</xdr:colOff>
      <xdr:row>42</xdr:row>
      <xdr:rowOff>76200</xdr:rowOff>
    </xdr:from>
    <xdr:ext cx="2714625" cy="781240"/>
    <xdr:sp macro="" textlink="">
      <xdr:nvSpPr>
        <xdr:cNvPr id="3" name="CaixaDeTexto 2"/>
        <xdr:cNvSpPr txBox="1"/>
      </xdr:nvSpPr>
      <xdr:spPr>
        <a:xfrm>
          <a:off x="5286375" y="8067675"/>
          <a:ext cx="2714625" cy="781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Arq. e Urbanista Alessandro Garcia Soares CAU-RS: A143804-2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pt-BR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33</xdr:row>
      <xdr:rowOff>0</xdr:rowOff>
    </xdr:from>
    <xdr:ext cx="2714625" cy="781240"/>
    <xdr:sp macro="" textlink="">
      <xdr:nvSpPr>
        <xdr:cNvPr id="2" name="CaixaDeTexto 1"/>
        <xdr:cNvSpPr txBox="1"/>
      </xdr:nvSpPr>
      <xdr:spPr>
        <a:xfrm>
          <a:off x="647700" y="7324725"/>
          <a:ext cx="2714625" cy="781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Eng. Civil José Marcos Sampaio da Costa CREA-RS: 75.415-D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pt-BR" sz="1100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2714625" cy="781240"/>
    <xdr:sp macro="" textlink="">
      <xdr:nvSpPr>
        <xdr:cNvPr id="3" name="CaixaDeTexto 2"/>
        <xdr:cNvSpPr txBox="1"/>
      </xdr:nvSpPr>
      <xdr:spPr>
        <a:xfrm>
          <a:off x="5791200" y="7324725"/>
          <a:ext cx="2714625" cy="781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Arq. e Urbanista Alessandro Garcia Soares CAU-RS: A143804-2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pt-BR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35</xdr:row>
      <xdr:rowOff>104775</xdr:rowOff>
    </xdr:from>
    <xdr:ext cx="2714625" cy="781240"/>
    <xdr:sp macro="" textlink="">
      <xdr:nvSpPr>
        <xdr:cNvPr id="2" name="CaixaDeTexto 1"/>
        <xdr:cNvSpPr txBox="1"/>
      </xdr:nvSpPr>
      <xdr:spPr>
        <a:xfrm>
          <a:off x="9525" y="7162800"/>
          <a:ext cx="2714625" cy="781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Eng. Civil José Marcos Sampaio da Costa CREA-RS: 75.415-D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pt-BR" sz="1100"/>
        </a:p>
      </xdr:txBody>
    </xdr:sp>
    <xdr:clientData/>
  </xdr:oneCellAnchor>
  <xdr:oneCellAnchor>
    <xdr:from>
      <xdr:col>2</xdr:col>
      <xdr:colOff>200025</xdr:colOff>
      <xdr:row>35</xdr:row>
      <xdr:rowOff>104775</xdr:rowOff>
    </xdr:from>
    <xdr:ext cx="2714625" cy="781240"/>
    <xdr:sp macro="" textlink="">
      <xdr:nvSpPr>
        <xdr:cNvPr id="3" name="CaixaDeTexto 2"/>
        <xdr:cNvSpPr txBox="1"/>
      </xdr:nvSpPr>
      <xdr:spPr>
        <a:xfrm>
          <a:off x="3924300" y="7162800"/>
          <a:ext cx="2714625" cy="781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Arq. e Urbanista Alessandro Garcia Soares CAU-RS: A143804-2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pt-B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8"/>
  <sheetViews>
    <sheetView view="pageLayout" topLeftCell="A138" zoomScaleNormal="100" zoomScaleSheetLayoutView="100" workbookViewId="0">
      <selection activeCell="I149" sqref="I149"/>
    </sheetView>
  </sheetViews>
  <sheetFormatPr defaultColWidth="9.140625" defaultRowHeight="15" x14ac:dyDescent="0.25"/>
  <cols>
    <col min="1" max="1" width="6.140625" style="5" customWidth="1"/>
    <col min="2" max="2" width="10.5703125" style="5" customWidth="1"/>
    <col min="3" max="3" width="63" style="5" customWidth="1"/>
    <col min="4" max="4" width="6.85546875" style="7" customWidth="1"/>
    <col min="5" max="5" width="10.5703125" style="12" customWidth="1"/>
    <col min="6" max="6" width="12.140625" style="9" customWidth="1"/>
    <col min="7" max="7" width="10" style="10" customWidth="1"/>
    <col min="8" max="8" width="12.28515625" style="10" customWidth="1"/>
    <col min="9" max="9" width="13.5703125" style="11" bestFit="1" customWidth="1"/>
    <col min="10" max="11" width="14.28515625" style="5" bestFit="1" customWidth="1"/>
    <col min="12" max="12" width="10.5703125" style="5" bestFit="1" customWidth="1"/>
    <col min="13" max="16384" width="9.140625" style="5"/>
  </cols>
  <sheetData>
    <row r="1" spans="1:12" ht="15" customHeight="1" x14ac:dyDescent="0.25">
      <c r="A1" s="124" t="s">
        <v>0</v>
      </c>
      <c r="B1" s="124" t="s">
        <v>1</v>
      </c>
      <c r="C1" s="125" t="s">
        <v>206</v>
      </c>
      <c r="D1" s="124" t="s">
        <v>2</v>
      </c>
      <c r="E1" s="126" t="s">
        <v>3</v>
      </c>
      <c r="F1" s="122" t="s">
        <v>4</v>
      </c>
      <c r="G1" s="109" t="s">
        <v>12</v>
      </c>
      <c r="H1" s="121" t="s">
        <v>5</v>
      </c>
      <c r="I1" s="122" t="s">
        <v>6</v>
      </c>
    </row>
    <row r="2" spans="1:12" s="6" customFormat="1" x14ac:dyDescent="0.25">
      <c r="A2" s="124"/>
      <c r="B2" s="124"/>
      <c r="C2" s="125"/>
      <c r="D2" s="124"/>
      <c r="E2" s="126"/>
      <c r="F2" s="122"/>
      <c r="G2" s="39">
        <f>BDI!E19</f>
        <v>0.20349999999999999</v>
      </c>
      <c r="H2" s="121"/>
      <c r="I2" s="122"/>
    </row>
    <row r="3" spans="1:12" s="6" customFormat="1" x14ac:dyDescent="0.25">
      <c r="A3" s="103">
        <v>1</v>
      </c>
      <c r="B3" s="103" t="s">
        <v>7</v>
      </c>
      <c r="C3" s="104" t="s">
        <v>8</v>
      </c>
      <c r="D3" s="105"/>
      <c r="E3" s="105"/>
      <c r="F3" s="105"/>
      <c r="G3" s="105"/>
      <c r="H3" s="105"/>
      <c r="I3" s="106"/>
    </row>
    <row r="4" spans="1:12" x14ac:dyDescent="0.25">
      <c r="A4" s="1" t="s">
        <v>9</v>
      </c>
      <c r="B4" s="1">
        <v>4813</v>
      </c>
      <c r="C4" s="3" t="s">
        <v>19</v>
      </c>
      <c r="D4" s="1" t="s">
        <v>125</v>
      </c>
      <c r="E4" s="65">
        <f>2*1.125</f>
        <v>2.25</v>
      </c>
      <c r="F4" s="60">
        <v>225</v>
      </c>
      <c r="G4" s="60">
        <f>(F4*$G$2)</f>
        <v>45.787499999999994</v>
      </c>
      <c r="H4" s="60">
        <f>(F4+G4)</f>
        <v>270.78750000000002</v>
      </c>
      <c r="I4" s="60">
        <f>(H4*E4)</f>
        <v>609.27187500000002</v>
      </c>
    </row>
    <row r="5" spans="1:12" x14ac:dyDescent="0.25">
      <c r="A5" s="1" t="s">
        <v>204</v>
      </c>
      <c r="B5" s="1">
        <v>99059</v>
      </c>
      <c r="C5" s="4" t="s">
        <v>205</v>
      </c>
      <c r="D5" s="1" t="s">
        <v>127</v>
      </c>
      <c r="E5" s="65">
        <f>15.8+15.8+7.4+7.4+7.4+5.4+3.52+5+3.52+5.4+2.05+6.2+5.35+22</f>
        <v>112.24</v>
      </c>
      <c r="F5" s="60">
        <v>42.4</v>
      </c>
      <c r="G5" s="60">
        <f>(F5*$G$2)</f>
        <v>8.6283999999999992</v>
      </c>
      <c r="H5" s="60">
        <f>(F5+G5)</f>
        <v>51.028399999999998</v>
      </c>
      <c r="I5" s="60">
        <f>(H5*E5)</f>
        <v>5727.427615999999</v>
      </c>
      <c r="L5" s="63"/>
    </row>
    <row r="6" spans="1:12" x14ac:dyDescent="0.25">
      <c r="A6" s="123" t="s">
        <v>11</v>
      </c>
      <c r="B6" s="123"/>
      <c r="C6" s="123"/>
      <c r="D6" s="123"/>
      <c r="E6" s="123"/>
      <c r="F6" s="123"/>
      <c r="G6" s="123"/>
      <c r="H6" s="123"/>
      <c r="I6" s="59">
        <f>SUM(I4:I5)</f>
        <v>6336.6994909999994</v>
      </c>
    </row>
    <row r="7" spans="1:12" x14ac:dyDescent="0.25">
      <c r="A7" s="103">
        <v>2</v>
      </c>
      <c r="B7" s="103" t="s">
        <v>7</v>
      </c>
      <c r="C7" s="104" t="s">
        <v>130</v>
      </c>
      <c r="D7" s="105"/>
      <c r="E7" s="105"/>
      <c r="F7" s="105"/>
      <c r="G7" s="105"/>
      <c r="H7" s="105"/>
      <c r="I7" s="106"/>
    </row>
    <row r="8" spans="1:12" ht="25.5" x14ac:dyDescent="0.25">
      <c r="A8" s="50" t="s">
        <v>20</v>
      </c>
      <c r="B8" s="50">
        <v>96619</v>
      </c>
      <c r="C8" s="61" t="s">
        <v>193</v>
      </c>
      <c r="D8" s="50" t="s">
        <v>125</v>
      </c>
      <c r="E8" s="51">
        <f>51.2-0.3</f>
        <v>50.900000000000006</v>
      </c>
      <c r="F8" s="60">
        <v>25.07</v>
      </c>
      <c r="G8" s="60">
        <f t="shared" ref="G8:G17" si="0">(F8*$G$2)</f>
        <v>5.1017449999999993</v>
      </c>
      <c r="H8" s="60">
        <f t="shared" ref="H8:H17" si="1">(G8+F8)</f>
        <v>30.171745000000001</v>
      </c>
      <c r="I8" s="60">
        <f t="shared" ref="I8:I17" si="2">(H8*E8)</f>
        <v>1535.7418205000001</v>
      </c>
    </row>
    <row r="9" spans="1:12" x14ac:dyDescent="0.25">
      <c r="A9" s="50" t="s">
        <v>21</v>
      </c>
      <c r="B9" s="50">
        <v>97082</v>
      </c>
      <c r="C9" s="61" t="s">
        <v>194</v>
      </c>
      <c r="D9" s="50" t="s">
        <v>126</v>
      </c>
      <c r="E9" s="51">
        <f>43-4.01</f>
        <v>38.99</v>
      </c>
      <c r="F9" s="60">
        <v>51.57</v>
      </c>
      <c r="G9" s="60">
        <f t="shared" si="0"/>
        <v>10.494494999999999</v>
      </c>
      <c r="H9" s="60">
        <f t="shared" si="1"/>
        <v>62.064495000000001</v>
      </c>
      <c r="I9" s="60">
        <f t="shared" si="2"/>
        <v>2419.8946600500003</v>
      </c>
    </row>
    <row r="10" spans="1:12" ht="25.5" x14ac:dyDescent="0.25">
      <c r="A10" s="50" t="s">
        <v>22</v>
      </c>
      <c r="B10" s="50">
        <v>96532</v>
      </c>
      <c r="C10" s="61" t="s">
        <v>195</v>
      </c>
      <c r="D10" s="50" t="s">
        <v>125</v>
      </c>
      <c r="E10" s="51">
        <f>22.4-3.36</f>
        <v>19.04</v>
      </c>
      <c r="F10" s="60">
        <v>156.88</v>
      </c>
      <c r="G10" s="60">
        <f t="shared" si="0"/>
        <v>31.925079999999998</v>
      </c>
      <c r="H10" s="60">
        <f t="shared" si="1"/>
        <v>188.80508</v>
      </c>
      <c r="I10" s="60">
        <f t="shared" si="2"/>
        <v>3594.8487231999998</v>
      </c>
    </row>
    <row r="11" spans="1:12" ht="25.5" x14ac:dyDescent="0.25">
      <c r="A11" s="50" t="s">
        <v>23</v>
      </c>
      <c r="B11" s="50">
        <v>96533</v>
      </c>
      <c r="C11" s="61" t="s">
        <v>196</v>
      </c>
      <c r="D11" s="50" t="s">
        <v>125</v>
      </c>
      <c r="E11" s="51">
        <f>120-16.59</f>
        <v>103.41</v>
      </c>
      <c r="F11" s="60">
        <v>79.540000000000006</v>
      </c>
      <c r="G11" s="60">
        <f t="shared" si="0"/>
        <v>16.186389999999999</v>
      </c>
      <c r="H11" s="60">
        <f t="shared" si="1"/>
        <v>95.726390000000009</v>
      </c>
      <c r="I11" s="60">
        <f t="shared" si="2"/>
        <v>9899.0659899000002</v>
      </c>
    </row>
    <row r="12" spans="1:12" ht="25.5" x14ac:dyDescent="0.25">
      <c r="A12" s="50" t="s">
        <v>110</v>
      </c>
      <c r="B12" s="50">
        <v>96544</v>
      </c>
      <c r="C12" s="61" t="s">
        <v>198</v>
      </c>
      <c r="D12" s="50" t="s">
        <v>173</v>
      </c>
      <c r="E12" s="51">
        <f>291.06-18.74-3.14</f>
        <v>269.18</v>
      </c>
      <c r="F12" s="60">
        <v>19.46</v>
      </c>
      <c r="G12" s="60">
        <f t="shared" si="0"/>
        <v>3.9601099999999998</v>
      </c>
      <c r="H12" s="60">
        <f t="shared" si="1"/>
        <v>23.420110000000001</v>
      </c>
      <c r="I12" s="60">
        <f t="shared" si="2"/>
        <v>6304.2252098000008</v>
      </c>
    </row>
    <row r="13" spans="1:12" ht="25.5" x14ac:dyDescent="0.25">
      <c r="A13" s="50" t="s">
        <v>131</v>
      </c>
      <c r="B13" s="50">
        <v>96543</v>
      </c>
      <c r="C13" s="61" t="s">
        <v>197</v>
      </c>
      <c r="D13" s="50" t="s">
        <v>173</v>
      </c>
      <c r="E13" s="51">
        <f>153.55-21.32</f>
        <v>132.23000000000002</v>
      </c>
      <c r="F13" s="60">
        <v>20.149999999999999</v>
      </c>
      <c r="G13" s="60">
        <f t="shared" si="0"/>
        <v>4.1005249999999993</v>
      </c>
      <c r="H13" s="60">
        <f t="shared" si="1"/>
        <v>24.250524999999996</v>
      </c>
      <c r="I13" s="60">
        <f t="shared" si="2"/>
        <v>3206.6469207499999</v>
      </c>
    </row>
    <row r="14" spans="1:12" ht="25.5" x14ac:dyDescent="0.25">
      <c r="A14" s="50" t="s">
        <v>132</v>
      </c>
      <c r="B14" s="50">
        <v>92873</v>
      </c>
      <c r="C14" s="61" t="s">
        <v>199</v>
      </c>
      <c r="D14" s="50" t="s">
        <v>126</v>
      </c>
      <c r="E14" s="51">
        <f>15.92-2.24</f>
        <v>13.68</v>
      </c>
      <c r="F14" s="60">
        <v>179.14</v>
      </c>
      <c r="G14" s="60">
        <f t="shared" si="0"/>
        <v>36.454989999999995</v>
      </c>
      <c r="H14" s="60">
        <f t="shared" si="1"/>
        <v>215.59499</v>
      </c>
      <c r="I14" s="60">
        <f t="shared" si="2"/>
        <v>2949.3394632</v>
      </c>
    </row>
    <row r="15" spans="1:12" ht="25.5" x14ac:dyDescent="0.25">
      <c r="A15" s="50" t="s">
        <v>133</v>
      </c>
      <c r="B15" s="50">
        <v>94970</v>
      </c>
      <c r="C15" s="61" t="s">
        <v>202</v>
      </c>
      <c r="D15" s="50" t="s">
        <v>126</v>
      </c>
      <c r="E15" s="51">
        <f>E14</f>
        <v>13.68</v>
      </c>
      <c r="F15" s="60">
        <v>367.02</v>
      </c>
      <c r="G15" s="60">
        <f t="shared" si="0"/>
        <v>74.688569999999984</v>
      </c>
      <c r="H15" s="60">
        <f t="shared" si="1"/>
        <v>441.70856999999995</v>
      </c>
      <c r="I15" s="60">
        <f t="shared" si="2"/>
        <v>6042.5732375999996</v>
      </c>
    </row>
    <row r="16" spans="1:12" x14ac:dyDescent="0.25">
      <c r="A16" s="50" t="s">
        <v>134</v>
      </c>
      <c r="B16" s="50">
        <v>96995</v>
      </c>
      <c r="C16" s="61" t="s">
        <v>200</v>
      </c>
      <c r="D16" s="50" t="s">
        <v>126</v>
      </c>
      <c r="E16" s="51">
        <v>9.92</v>
      </c>
      <c r="F16" s="60">
        <v>42.59</v>
      </c>
      <c r="G16" s="60">
        <f t="shared" si="0"/>
        <v>8.6670650000000009</v>
      </c>
      <c r="H16" s="60">
        <f t="shared" si="1"/>
        <v>51.257065000000004</v>
      </c>
      <c r="I16" s="60">
        <f t="shared" si="2"/>
        <v>508.47008480000005</v>
      </c>
    </row>
    <row r="17" spans="1:12" ht="25.5" x14ac:dyDescent="0.25">
      <c r="A17" s="50" t="s">
        <v>214</v>
      </c>
      <c r="B17" s="50">
        <v>74106</v>
      </c>
      <c r="C17" s="61" t="s">
        <v>136</v>
      </c>
      <c r="D17" s="50" t="s">
        <v>125</v>
      </c>
      <c r="E17" s="51">
        <f>111.2-24.23</f>
        <v>86.97</v>
      </c>
      <c r="F17" s="60">
        <f>Composições!F1</f>
        <v>11.27</v>
      </c>
      <c r="G17" s="60">
        <f t="shared" si="0"/>
        <v>2.2934449999999997</v>
      </c>
      <c r="H17" s="60">
        <f t="shared" si="1"/>
        <v>13.563445</v>
      </c>
      <c r="I17" s="60">
        <f t="shared" si="2"/>
        <v>1179.6128116499999</v>
      </c>
    </row>
    <row r="18" spans="1:12" x14ac:dyDescent="0.25">
      <c r="A18" s="123" t="s">
        <v>135</v>
      </c>
      <c r="B18" s="123"/>
      <c r="C18" s="123"/>
      <c r="D18" s="123"/>
      <c r="E18" s="123"/>
      <c r="F18" s="123"/>
      <c r="G18" s="123"/>
      <c r="H18" s="123"/>
      <c r="I18" s="59">
        <f>SUM(I8:I17)</f>
        <v>37640.41892145</v>
      </c>
    </row>
    <row r="19" spans="1:12" x14ac:dyDescent="0.25">
      <c r="A19" s="103">
        <v>3</v>
      </c>
      <c r="B19" s="103" t="s">
        <v>7</v>
      </c>
      <c r="C19" s="104" t="s">
        <v>10</v>
      </c>
      <c r="D19" s="105"/>
      <c r="E19" s="105"/>
      <c r="F19" s="105"/>
      <c r="G19" s="105"/>
      <c r="H19" s="105"/>
      <c r="I19" s="106"/>
    </row>
    <row r="20" spans="1:12" ht="25.5" x14ac:dyDescent="0.25">
      <c r="A20" s="1" t="s">
        <v>208</v>
      </c>
      <c r="B20" s="1">
        <v>97622</v>
      </c>
      <c r="C20" s="4" t="s">
        <v>209</v>
      </c>
      <c r="D20" s="1" t="s">
        <v>126</v>
      </c>
      <c r="E20" s="65">
        <f>(0.12*0.6)+(0.021*2.1)+(0.2175*2.6)+(0.12*2.1)+(0.274*1)+(0.135*2.1)+(0.129*2.6)+(0.0431*1)+(0.175*1)+(0.0675*2.1)+(0.0919*1)+(0.565*2.6)+(0.08*2.6)+(2.493*1.1)+(0.16*2.1)</f>
        <v>7.03355</v>
      </c>
      <c r="F20" s="60">
        <v>46.12</v>
      </c>
      <c r="G20" s="60">
        <f>(F20*$G$2)</f>
        <v>9.3854199999999981</v>
      </c>
      <c r="H20" s="60">
        <f>(F20+G20)</f>
        <v>55.505419999999994</v>
      </c>
      <c r="I20" s="60">
        <f>(H20*E20)</f>
        <v>390.40014684099998</v>
      </c>
    </row>
    <row r="21" spans="1:12" ht="51" x14ac:dyDescent="0.25">
      <c r="A21" s="1" t="s">
        <v>24</v>
      </c>
      <c r="B21" s="1">
        <v>87472</v>
      </c>
      <c r="C21" s="4" t="s">
        <v>318</v>
      </c>
      <c r="D21" s="1" t="s">
        <v>125</v>
      </c>
      <c r="E21" s="65">
        <f>(3*(7.4+0.1+0.3+4.4+0.4+7+0.8+0.4+4.4+7+0.8+4.1+0.4+0.3+7.4+7.4+0.3+0.1+0.4+4.3+7+0.71+0.1+3.2+3.53+0.58+7+0.71+0.1+0.1+4.3+0.4+6.1+0.1+0.6+0.1+3+5+0.78+0.53+5.3))+(9*(0.8*(3-2.1)))+(11*(2*(3-1)))+(2*(2*(3-0.8)))+(2.8*(3-0.4))+((1.37+0.1+4.3)*3)+(0.8*3)+((1.43+0.66+0.1)*3)+((1.61+0.76)*3)+(2*(0.8*2.5))+(0.6*2.5)+(0.14*2.5)+(0.29*1.5)+(0.88*1.5)+(0.61*1.5)+(0.4*3)+(0.65*2.5)+(0.6*2.5)+(0.6*1.5)+(1.6*(3-1.05))+157.76+99.8</f>
        <v>695.19499999999971</v>
      </c>
      <c r="F21" s="60">
        <v>52.7</v>
      </c>
      <c r="G21" s="60">
        <f>(F21*$G$2)</f>
        <v>10.724449999999999</v>
      </c>
      <c r="H21" s="60">
        <f>(F21+G21)</f>
        <v>63.42445</v>
      </c>
      <c r="I21" s="60">
        <f>(H21*E21)</f>
        <v>44092.360517749985</v>
      </c>
      <c r="J21" s="63"/>
      <c r="L21" s="66"/>
    </row>
    <row r="22" spans="1:12" ht="25.5" x14ac:dyDescent="0.25">
      <c r="A22" s="1" t="s">
        <v>245</v>
      </c>
      <c r="B22" s="1">
        <v>93186</v>
      </c>
      <c r="C22" s="4" t="s">
        <v>63</v>
      </c>
      <c r="D22" s="1" t="s">
        <v>127</v>
      </c>
      <c r="E22" s="65">
        <f>(0.6+0.3)+(0.8+0.3)</f>
        <v>2</v>
      </c>
      <c r="F22" s="60">
        <v>66.17</v>
      </c>
      <c r="G22" s="60">
        <f>(F22*$G$2)</f>
        <v>13.465594999999999</v>
      </c>
      <c r="H22" s="60">
        <f>(F22+G22)</f>
        <v>79.635594999999995</v>
      </c>
      <c r="I22" s="60">
        <f>(H22*E22)</f>
        <v>159.27118999999999</v>
      </c>
      <c r="J22" s="63"/>
      <c r="L22" s="66"/>
    </row>
    <row r="23" spans="1:12" ht="25.5" x14ac:dyDescent="0.25">
      <c r="A23" s="1" t="s">
        <v>62</v>
      </c>
      <c r="B23" s="1">
        <v>93187</v>
      </c>
      <c r="C23" s="4" t="s">
        <v>210</v>
      </c>
      <c r="D23" s="1" t="s">
        <v>127</v>
      </c>
      <c r="E23" s="65">
        <v>37.35</v>
      </c>
      <c r="F23" s="60">
        <v>77.22</v>
      </c>
      <c r="G23" s="60">
        <f>(F23*$G$2)</f>
        <v>15.714269999999999</v>
      </c>
      <c r="H23" s="60">
        <f>(F23+G23)</f>
        <v>92.934269999999998</v>
      </c>
      <c r="I23" s="60">
        <f>(H23*E23)</f>
        <v>3471.0949845</v>
      </c>
    </row>
    <row r="24" spans="1:12" x14ac:dyDescent="0.25">
      <c r="A24" s="124" t="s">
        <v>0</v>
      </c>
      <c r="B24" s="124" t="s">
        <v>1</v>
      </c>
      <c r="C24" s="125" t="str">
        <f>$C$1</f>
        <v>Descrição Obra/Serviços de Ampliação e Reforma da Escola da Vila 12 de Maio</v>
      </c>
      <c r="D24" s="124" t="s">
        <v>2</v>
      </c>
      <c r="E24" s="126" t="s">
        <v>3</v>
      </c>
      <c r="F24" s="122" t="s">
        <v>4</v>
      </c>
      <c r="G24" s="109" t="s">
        <v>12</v>
      </c>
      <c r="H24" s="121" t="s">
        <v>5</v>
      </c>
      <c r="I24" s="122" t="s">
        <v>6</v>
      </c>
    </row>
    <row r="25" spans="1:12" x14ac:dyDescent="0.25">
      <c r="A25" s="124"/>
      <c r="B25" s="124"/>
      <c r="C25" s="125"/>
      <c r="D25" s="124"/>
      <c r="E25" s="126"/>
      <c r="F25" s="122"/>
      <c r="G25" s="39">
        <f>$G$2</f>
        <v>0.20349999999999999</v>
      </c>
      <c r="H25" s="121"/>
      <c r="I25" s="122"/>
    </row>
    <row r="26" spans="1:12" ht="25.5" x14ac:dyDescent="0.25">
      <c r="A26" s="1" t="s">
        <v>109</v>
      </c>
      <c r="B26" s="1">
        <v>93188</v>
      </c>
      <c r="C26" s="4" t="s">
        <v>65</v>
      </c>
      <c r="D26" s="1" t="s">
        <v>127</v>
      </c>
      <c r="E26" s="65">
        <f>(12*1.1)+1+1.2</f>
        <v>15.4</v>
      </c>
      <c r="F26" s="60">
        <v>60.34</v>
      </c>
      <c r="G26" s="60">
        <f>(F26*$G$2)</f>
        <v>12.27919</v>
      </c>
      <c r="H26" s="60">
        <f>(F26+G26)</f>
        <v>72.619190000000003</v>
      </c>
      <c r="I26" s="60">
        <f>(H26*E26)</f>
        <v>1118.3355260000001</v>
      </c>
      <c r="J26" s="63"/>
      <c r="L26" s="66"/>
    </row>
    <row r="27" spans="1:12" ht="38.25" x14ac:dyDescent="0.25">
      <c r="A27" s="117" t="s">
        <v>211</v>
      </c>
      <c r="B27" s="117">
        <v>102257</v>
      </c>
      <c r="C27" s="118" t="s">
        <v>215</v>
      </c>
      <c r="D27" s="117" t="s">
        <v>125</v>
      </c>
      <c r="E27" s="65">
        <f>(6*1.2*1.8)+(0.18*1.8)+(0.33*1.8)+(0.33*1.8)+(0.08*1.8)+(0.18*1.8)+(0.33*1.8)+(0.33*1.8)+(0.08*1.8)</f>
        <v>16.271999999999995</v>
      </c>
      <c r="F27" s="60">
        <v>271.94</v>
      </c>
      <c r="G27" s="60">
        <f>(F27*$G$2)</f>
        <v>55.339789999999994</v>
      </c>
      <c r="H27" s="60">
        <f>(F27+G27)</f>
        <v>327.27978999999999</v>
      </c>
      <c r="I27" s="60">
        <f>(H27*E27)</f>
        <v>5325.4967428799982</v>
      </c>
    </row>
    <row r="28" spans="1:12" x14ac:dyDescent="0.25">
      <c r="A28" s="119" t="s">
        <v>212</v>
      </c>
      <c r="B28" s="119">
        <v>39482</v>
      </c>
      <c r="C28" s="120" t="s">
        <v>216</v>
      </c>
      <c r="D28" s="119" t="s">
        <v>111</v>
      </c>
      <c r="E28" s="116">
        <v>6</v>
      </c>
      <c r="F28" s="60">
        <v>574.66</v>
      </c>
      <c r="G28" s="60">
        <f>(F28*$G$2)</f>
        <v>116.94330999999998</v>
      </c>
      <c r="H28" s="60">
        <f>(F28+G28)</f>
        <v>691.60330999999996</v>
      </c>
      <c r="I28" s="60">
        <f>(H28*E28)</f>
        <v>4149.6198599999998</v>
      </c>
    </row>
    <row r="29" spans="1:12" x14ac:dyDescent="0.25">
      <c r="A29" s="127" t="s">
        <v>47</v>
      </c>
      <c r="B29" s="127"/>
      <c r="C29" s="127"/>
      <c r="D29" s="127"/>
      <c r="E29" s="127"/>
      <c r="F29" s="127"/>
      <c r="G29" s="127"/>
      <c r="H29" s="127"/>
      <c r="I29" s="68">
        <f>SUM(I20:I28)</f>
        <v>58706.578967970985</v>
      </c>
    </row>
    <row r="30" spans="1:12" x14ac:dyDescent="0.25">
      <c r="A30" s="103">
        <v>4</v>
      </c>
      <c r="B30" s="103" t="s">
        <v>7</v>
      </c>
      <c r="C30" s="104" t="s">
        <v>140</v>
      </c>
      <c r="D30" s="105"/>
      <c r="E30" s="105"/>
      <c r="F30" s="105"/>
      <c r="G30" s="105"/>
      <c r="H30" s="105"/>
      <c r="I30" s="106"/>
    </row>
    <row r="31" spans="1:12" ht="38.25" x14ac:dyDescent="0.25">
      <c r="A31" s="50" t="s">
        <v>25</v>
      </c>
      <c r="B31" s="50">
        <v>92413</v>
      </c>
      <c r="C31" s="61" t="s">
        <v>201</v>
      </c>
      <c r="D31" s="50" t="s">
        <v>125</v>
      </c>
      <c r="E31" s="51">
        <f>81.6-9.74</f>
        <v>71.86</v>
      </c>
      <c r="F31" s="60">
        <v>89.12</v>
      </c>
      <c r="G31" s="60">
        <f t="shared" ref="G31:G38" si="3">(F31*$G$2)</f>
        <v>18.135919999999999</v>
      </c>
      <c r="H31" s="60">
        <f t="shared" ref="H31:H38" si="4">(G31+F31)</f>
        <v>107.25592</v>
      </c>
      <c r="I31" s="60">
        <f t="shared" ref="I31:I38" si="5">(H31*E31)</f>
        <v>7707.4104112000005</v>
      </c>
    </row>
    <row r="32" spans="1:12" ht="38.25" x14ac:dyDescent="0.25">
      <c r="A32" s="50" t="s">
        <v>26</v>
      </c>
      <c r="B32" s="50">
        <v>92448</v>
      </c>
      <c r="C32" s="61" t="s">
        <v>219</v>
      </c>
      <c r="D32" s="50" t="s">
        <v>125</v>
      </c>
      <c r="E32" s="51">
        <v>96.2</v>
      </c>
      <c r="F32" s="60">
        <v>112.1</v>
      </c>
      <c r="G32" s="60">
        <f t="shared" si="3"/>
        <v>22.812349999999999</v>
      </c>
      <c r="H32" s="60">
        <f t="shared" si="4"/>
        <v>134.91235</v>
      </c>
      <c r="I32" s="60">
        <f t="shared" si="5"/>
        <v>12978.568070000001</v>
      </c>
    </row>
    <row r="33" spans="1:9" ht="38.25" x14ac:dyDescent="0.25">
      <c r="A33" s="50" t="s">
        <v>27</v>
      </c>
      <c r="B33" s="50">
        <v>92775</v>
      </c>
      <c r="C33" s="61" t="s">
        <v>277</v>
      </c>
      <c r="D33" s="50" t="s">
        <v>173</v>
      </c>
      <c r="E33" s="51">
        <f>236.8-28.78</f>
        <v>208.02</v>
      </c>
      <c r="F33" s="60">
        <v>20.25</v>
      </c>
      <c r="G33" s="60">
        <f t="shared" si="3"/>
        <v>4.1208749999999998</v>
      </c>
      <c r="H33" s="60">
        <f t="shared" si="4"/>
        <v>24.370874999999998</v>
      </c>
      <c r="I33" s="60">
        <f t="shared" si="5"/>
        <v>5069.6294175000003</v>
      </c>
    </row>
    <row r="34" spans="1:9" ht="38.25" x14ac:dyDescent="0.25">
      <c r="A34" s="50" t="s">
        <v>141</v>
      </c>
      <c r="B34" s="50">
        <v>92776</v>
      </c>
      <c r="C34" s="61" t="s">
        <v>278</v>
      </c>
      <c r="D34" s="50" t="s">
        <v>173</v>
      </c>
      <c r="E34" s="51">
        <f>196.98-27.11</f>
        <v>169.87</v>
      </c>
      <c r="F34" s="60">
        <v>19.52</v>
      </c>
      <c r="G34" s="60">
        <f t="shared" si="3"/>
        <v>3.9723199999999999</v>
      </c>
      <c r="H34" s="60">
        <f t="shared" si="4"/>
        <v>23.492319999999999</v>
      </c>
      <c r="I34" s="60">
        <f t="shared" si="5"/>
        <v>3990.6403983999999</v>
      </c>
    </row>
    <row r="35" spans="1:9" ht="38.25" x14ac:dyDescent="0.25">
      <c r="A35" s="50" t="s">
        <v>142</v>
      </c>
      <c r="B35" s="50">
        <v>92778</v>
      </c>
      <c r="C35" s="61" t="s">
        <v>279</v>
      </c>
      <c r="D35" s="50" t="s">
        <v>173</v>
      </c>
      <c r="E35" s="51">
        <f>340.59-44.42</f>
        <v>296.16999999999996</v>
      </c>
      <c r="F35" s="60">
        <v>16.72</v>
      </c>
      <c r="G35" s="60">
        <f t="shared" si="3"/>
        <v>3.4025199999999995</v>
      </c>
      <c r="H35" s="60">
        <f t="shared" si="4"/>
        <v>20.122519999999998</v>
      </c>
      <c r="I35" s="60">
        <f t="shared" si="5"/>
        <v>5959.6867483999986</v>
      </c>
    </row>
    <row r="36" spans="1:9" ht="38.25" x14ac:dyDescent="0.25">
      <c r="A36" s="50" t="s">
        <v>143</v>
      </c>
      <c r="B36" s="50">
        <v>101964</v>
      </c>
      <c r="C36" s="61" t="s">
        <v>287</v>
      </c>
      <c r="D36" s="50" t="s">
        <v>125</v>
      </c>
      <c r="E36" s="51">
        <v>39.96</v>
      </c>
      <c r="F36" s="60">
        <v>143</v>
      </c>
      <c r="G36" s="60">
        <f t="shared" si="3"/>
        <v>29.100499999999997</v>
      </c>
      <c r="H36" s="60">
        <f t="shared" si="4"/>
        <v>172.10050000000001</v>
      </c>
      <c r="I36" s="60">
        <f t="shared" si="5"/>
        <v>6877.1359800000009</v>
      </c>
    </row>
    <row r="37" spans="1:9" ht="25.5" x14ac:dyDescent="0.25">
      <c r="A37" s="50" t="s">
        <v>217</v>
      </c>
      <c r="B37" s="50">
        <v>94970</v>
      </c>
      <c r="C37" s="61" t="s">
        <v>202</v>
      </c>
      <c r="D37" s="50" t="s">
        <v>126</v>
      </c>
      <c r="E37" s="51">
        <f>13.48-1.55</f>
        <v>11.93</v>
      </c>
      <c r="F37" s="60">
        <v>367.02</v>
      </c>
      <c r="G37" s="60">
        <f t="shared" si="3"/>
        <v>74.688569999999984</v>
      </c>
      <c r="H37" s="60">
        <f t="shared" si="4"/>
        <v>441.70856999999995</v>
      </c>
      <c r="I37" s="60">
        <f t="shared" si="5"/>
        <v>5269.5832400999989</v>
      </c>
    </row>
    <row r="38" spans="1:9" ht="25.5" x14ac:dyDescent="0.25">
      <c r="A38" s="50" t="s">
        <v>218</v>
      </c>
      <c r="B38" s="50">
        <v>92873</v>
      </c>
      <c r="C38" s="61" t="s">
        <v>199</v>
      </c>
      <c r="D38" s="50" t="s">
        <v>126</v>
      </c>
      <c r="E38" s="51">
        <f>E37</f>
        <v>11.93</v>
      </c>
      <c r="F38" s="60">
        <v>179.14</v>
      </c>
      <c r="G38" s="60">
        <f t="shared" si="3"/>
        <v>36.454989999999995</v>
      </c>
      <c r="H38" s="60">
        <f t="shared" si="4"/>
        <v>215.59499</v>
      </c>
      <c r="I38" s="60">
        <f t="shared" si="5"/>
        <v>2572.0482306999997</v>
      </c>
    </row>
    <row r="39" spans="1:9" x14ac:dyDescent="0.25">
      <c r="A39" s="123" t="s">
        <v>144</v>
      </c>
      <c r="B39" s="123"/>
      <c r="C39" s="123"/>
      <c r="D39" s="123"/>
      <c r="E39" s="123"/>
      <c r="F39" s="123"/>
      <c r="G39" s="123"/>
      <c r="H39" s="123"/>
      <c r="I39" s="59">
        <f>SUM(I31:I38)</f>
        <v>50424.702496299993</v>
      </c>
    </row>
    <row r="40" spans="1:9" x14ac:dyDescent="0.25">
      <c r="A40" s="103">
        <v>5</v>
      </c>
      <c r="B40" s="103" t="s">
        <v>7</v>
      </c>
      <c r="C40" s="104" t="s">
        <v>13</v>
      </c>
      <c r="D40" s="105"/>
      <c r="E40" s="105"/>
      <c r="F40" s="105"/>
      <c r="G40" s="105"/>
      <c r="H40" s="105"/>
      <c r="I40" s="106"/>
    </row>
    <row r="41" spans="1:9" ht="25.5" x14ac:dyDescent="0.25">
      <c r="A41" s="1" t="s">
        <v>28</v>
      </c>
      <c r="B41" s="1">
        <v>97640</v>
      </c>
      <c r="C41" s="4" t="s">
        <v>220</v>
      </c>
      <c r="D41" s="1" t="s">
        <v>125</v>
      </c>
      <c r="E41" s="65">
        <v>60</v>
      </c>
      <c r="F41" s="60">
        <v>1.42</v>
      </c>
      <c r="G41" s="60">
        <f>(F41*$G$2)</f>
        <v>0.28896999999999995</v>
      </c>
      <c r="H41" s="60">
        <f>(F41+G41)</f>
        <v>1.7089699999999999</v>
      </c>
      <c r="I41" s="60">
        <f>(H41*E41)</f>
        <v>102.53819999999999</v>
      </c>
    </row>
    <row r="42" spans="1:9" ht="25.5" x14ac:dyDescent="0.25">
      <c r="A42" s="1" t="s">
        <v>145</v>
      </c>
      <c r="B42" s="1">
        <v>97647</v>
      </c>
      <c r="C42" s="4" t="s">
        <v>225</v>
      </c>
      <c r="D42" s="1" t="s">
        <v>125</v>
      </c>
      <c r="E42" s="65">
        <v>66</v>
      </c>
      <c r="F42" s="60">
        <v>2.79</v>
      </c>
      <c r="G42" s="60">
        <f t="shared" ref="G42:G58" si="6">(F42*$G$2)</f>
        <v>0.56776499999999996</v>
      </c>
      <c r="H42" s="60">
        <f t="shared" ref="H42:H58" si="7">(F42+G42)</f>
        <v>3.3577650000000001</v>
      </c>
      <c r="I42" s="60">
        <f t="shared" ref="I42:I58" si="8">(H42*E42)</f>
        <v>221.61249000000001</v>
      </c>
    </row>
    <row r="43" spans="1:9" x14ac:dyDescent="0.25">
      <c r="A43" s="124" t="s">
        <v>0</v>
      </c>
      <c r="B43" s="124" t="s">
        <v>1</v>
      </c>
      <c r="C43" s="125" t="str">
        <f>$C$1</f>
        <v>Descrição Obra/Serviços de Ampliação e Reforma da Escola da Vila 12 de Maio</v>
      </c>
      <c r="D43" s="124" t="s">
        <v>2</v>
      </c>
      <c r="E43" s="126" t="s">
        <v>3</v>
      </c>
      <c r="F43" s="122" t="s">
        <v>4</v>
      </c>
      <c r="G43" s="109" t="s">
        <v>12</v>
      </c>
      <c r="H43" s="121" t="s">
        <v>5</v>
      </c>
      <c r="I43" s="122" t="s">
        <v>6</v>
      </c>
    </row>
    <row r="44" spans="1:9" x14ac:dyDescent="0.25">
      <c r="A44" s="124"/>
      <c r="B44" s="124"/>
      <c r="C44" s="125"/>
      <c r="D44" s="124"/>
      <c r="E44" s="126"/>
      <c r="F44" s="122"/>
      <c r="G44" s="39">
        <f>$G$2</f>
        <v>0.20349999999999999</v>
      </c>
      <c r="H44" s="121"/>
      <c r="I44" s="122"/>
    </row>
    <row r="45" spans="1:9" ht="25.5" x14ac:dyDescent="0.25">
      <c r="A45" s="1" t="s">
        <v>146</v>
      </c>
      <c r="B45" s="1">
        <v>97651</v>
      </c>
      <c r="C45" s="4" t="s">
        <v>226</v>
      </c>
      <c r="D45" s="1" t="s">
        <v>111</v>
      </c>
      <c r="E45" s="65">
        <v>12</v>
      </c>
      <c r="F45" s="60">
        <v>66.510000000000005</v>
      </c>
      <c r="G45" s="60">
        <f t="shared" si="6"/>
        <v>13.534784999999999</v>
      </c>
      <c r="H45" s="60">
        <f t="shared" si="7"/>
        <v>80.044785000000005</v>
      </c>
      <c r="I45" s="60">
        <f t="shared" si="8"/>
        <v>960.53742000000011</v>
      </c>
    </row>
    <row r="46" spans="1:9" ht="25.5" x14ac:dyDescent="0.25">
      <c r="A46" s="1" t="s">
        <v>147</v>
      </c>
      <c r="B46" s="1">
        <v>97650</v>
      </c>
      <c r="C46" s="4" t="s">
        <v>227</v>
      </c>
      <c r="D46" s="1" t="s">
        <v>125</v>
      </c>
      <c r="E46" s="65">
        <v>66</v>
      </c>
      <c r="F46" s="60">
        <v>6.01</v>
      </c>
      <c r="G46" s="60">
        <f t="shared" si="6"/>
        <v>1.2230349999999999</v>
      </c>
      <c r="H46" s="60">
        <f t="shared" si="7"/>
        <v>7.2330349999999992</v>
      </c>
      <c r="I46" s="60">
        <f t="shared" si="8"/>
        <v>477.38030999999995</v>
      </c>
    </row>
    <row r="47" spans="1:9" ht="38.25" x14ac:dyDescent="0.25">
      <c r="A47" s="1" t="s">
        <v>148</v>
      </c>
      <c r="B47" s="1">
        <v>100369</v>
      </c>
      <c r="C47" s="4" t="s">
        <v>306</v>
      </c>
      <c r="D47" s="1" t="s">
        <v>111</v>
      </c>
      <c r="E47" s="65">
        <v>19</v>
      </c>
      <c r="F47" s="60">
        <v>1059.98</v>
      </c>
      <c r="G47" s="60">
        <f t="shared" si="6"/>
        <v>215.70593</v>
      </c>
      <c r="H47" s="60">
        <f t="shared" si="7"/>
        <v>1275.6859300000001</v>
      </c>
      <c r="I47" s="60">
        <f t="shared" si="8"/>
        <v>24238.032670000001</v>
      </c>
    </row>
    <row r="48" spans="1:9" ht="38.25" x14ac:dyDescent="0.25">
      <c r="A48" s="1" t="s">
        <v>314</v>
      </c>
      <c r="B48" s="1">
        <v>100371</v>
      </c>
      <c r="C48" s="4" t="s">
        <v>281</v>
      </c>
      <c r="D48" s="1" t="s">
        <v>111</v>
      </c>
      <c r="E48" s="65">
        <f>2*17</f>
        <v>34</v>
      </c>
      <c r="F48" s="60">
        <v>1431.9</v>
      </c>
      <c r="G48" s="60">
        <f t="shared" si="6"/>
        <v>291.39165000000003</v>
      </c>
      <c r="H48" s="60">
        <f t="shared" si="7"/>
        <v>1723.2916500000001</v>
      </c>
      <c r="I48" s="60">
        <f t="shared" si="8"/>
        <v>58591.916100000002</v>
      </c>
    </row>
    <row r="49" spans="1:12" ht="38.25" x14ac:dyDescent="0.25">
      <c r="A49" s="1" t="s">
        <v>149</v>
      </c>
      <c r="B49" s="1">
        <v>100367</v>
      </c>
      <c r="C49" s="4" t="s">
        <v>280</v>
      </c>
      <c r="D49" s="1" t="s">
        <v>111</v>
      </c>
      <c r="E49" s="65">
        <v>14</v>
      </c>
      <c r="F49" s="60">
        <v>743.04</v>
      </c>
      <c r="G49" s="60">
        <f t="shared" si="6"/>
        <v>151.20863999999997</v>
      </c>
      <c r="H49" s="60">
        <f t="shared" si="7"/>
        <v>894.24863999999991</v>
      </c>
      <c r="I49" s="60">
        <f t="shared" si="8"/>
        <v>12519.480959999999</v>
      </c>
    </row>
    <row r="50" spans="1:12" ht="38.25" x14ac:dyDescent="0.25">
      <c r="A50" s="1" t="s">
        <v>246</v>
      </c>
      <c r="B50" s="1">
        <v>92543</v>
      </c>
      <c r="C50" s="4" t="s">
        <v>174</v>
      </c>
      <c r="D50" s="1" t="s">
        <v>125</v>
      </c>
      <c r="E50" s="65">
        <f>314.4-65.07-55.32</f>
        <v>194.01</v>
      </c>
      <c r="F50" s="60">
        <v>15.19</v>
      </c>
      <c r="G50" s="60">
        <f t="shared" si="6"/>
        <v>3.0911649999999997</v>
      </c>
      <c r="H50" s="60">
        <f t="shared" si="7"/>
        <v>18.281164999999998</v>
      </c>
      <c r="I50" s="60">
        <f t="shared" si="8"/>
        <v>3546.7288216499996</v>
      </c>
    </row>
    <row r="51" spans="1:12" ht="38.25" x14ac:dyDescent="0.25">
      <c r="A51" s="1" t="s">
        <v>315</v>
      </c>
      <c r="B51" s="1">
        <v>94207</v>
      </c>
      <c r="C51" s="4" t="s">
        <v>175</v>
      </c>
      <c r="D51" s="1" t="s">
        <v>125</v>
      </c>
      <c r="E51" s="65">
        <f>552.21-65.07-55.32</f>
        <v>431.82000000000005</v>
      </c>
      <c r="F51" s="60">
        <v>48.86</v>
      </c>
      <c r="G51" s="60">
        <f t="shared" si="6"/>
        <v>9.9430099999999992</v>
      </c>
      <c r="H51" s="60">
        <f t="shared" si="7"/>
        <v>58.80301</v>
      </c>
      <c r="I51" s="60">
        <f t="shared" si="8"/>
        <v>25392.315778200002</v>
      </c>
      <c r="J51" s="63"/>
    </row>
    <row r="52" spans="1:12" x14ac:dyDescent="0.25">
      <c r="A52" s="1" t="s">
        <v>316</v>
      </c>
      <c r="B52" s="1">
        <v>10507</v>
      </c>
      <c r="C52" s="4" t="s">
        <v>228</v>
      </c>
      <c r="D52" s="1" t="s">
        <v>125</v>
      </c>
      <c r="E52" s="65">
        <v>41.71</v>
      </c>
      <c r="F52" s="60">
        <f>215.65+4.24</f>
        <v>219.89000000000001</v>
      </c>
      <c r="G52" s="60">
        <f t="shared" si="6"/>
        <v>44.747615000000003</v>
      </c>
      <c r="H52" s="60">
        <f t="shared" si="7"/>
        <v>264.63761500000004</v>
      </c>
      <c r="I52" s="60">
        <f t="shared" si="8"/>
        <v>11038.034921650002</v>
      </c>
    </row>
    <row r="53" spans="1:12" ht="25.5" x14ac:dyDescent="0.25">
      <c r="A53" s="1" t="s">
        <v>221</v>
      </c>
      <c r="B53" s="1">
        <v>94228</v>
      </c>
      <c r="C53" s="4" t="s">
        <v>229</v>
      </c>
      <c r="D53" s="1" t="s">
        <v>127</v>
      </c>
      <c r="E53" s="65">
        <f>27.5+16+16+18.35</f>
        <v>77.849999999999994</v>
      </c>
      <c r="F53" s="60">
        <v>106.2</v>
      </c>
      <c r="G53" s="60">
        <f t="shared" si="6"/>
        <v>21.611699999999999</v>
      </c>
      <c r="H53" s="60">
        <f t="shared" si="7"/>
        <v>127.8117</v>
      </c>
      <c r="I53" s="60">
        <f t="shared" si="8"/>
        <v>9950.1408449999999</v>
      </c>
    </row>
    <row r="54" spans="1:12" ht="25.5" x14ac:dyDescent="0.25">
      <c r="A54" s="1" t="s">
        <v>222</v>
      </c>
      <c r="B54" s="1">
        <v>94223</v>
      </c>
      <c r="C54" s="4" t="s">
        <v>176</v>
      </c>
      <c r="D54" s="1" t="s">
        <v>127</v>
      </c>
      <c r="E54" s="65">
        <f>19+15.8+28.26</f>
        <v>63.06</v>
      </c>
      <c r="F54" s="60">
        <v>60.67</v>
      </c>
      <c r="G54" s="60">
        <f t="shared" si="6"/>
        <v>12.346344999999999</v>
      </c>
      <c r="H54" s="60">
        <f t="shared" si="7"/>
        <v>73.016345000000001</v>
      </c>
      <c r="I54" s="60">
        <f t="shared" si="8"/>
        <v>4604.4107156999999</v>
      </c>
    </row>
    <row r="55" spans="1:12" ht="25.5" x14ac:dyDescent="0.25">
      <c r="A55" s="1" t="s">
        <v>223</v>
      </c>
      <c r="B55" s="1">
        <v>94231</v>
      </c>
      <c r="C55" s="4" t="s">
        <v>284</v>
      </c>
      <c r="D55" s="1" t="s">
        <v>127</v>
      </c>
      <c r="E55" s="65">
        <f>18.35+15.8+15.8</f>
        <v>49.95</v>
      </c>
      <c r="F55" s="60">
        <v>61.29</v>
      </c>
      <c r="G55" s="60">
        <f t="shared" si="6"/>
        <v>12.472515</v>
      </c>
      <c r="H55" s="60">
        <f t="shared" si="7"/>
        <v>73.762514999999993</v>
      </c>
      <c r="I55" s="60">
        <f t="shared" si="8"/>
        <v>3684.4376242499998</v>
      </c>
    </row>
    <row r="56" spans="1:12" ht="25.5" x14ac:dyDescent="0.25">
      <c r="A56" s="1" t="s">
        <v>224</v>
      </c>
      <c r="B56" s="1">
        <v>96111</v>
      </c>
      <c r="C56" s="4" t="s">
        <v>177</v>
      </c>
      <c r="D56" s="1" t="s">
        <v>125</v>
      </c>
      <c r="E56" s="65">
        <f>15.1+6+8.55+35+8.57+8.75+35+35+35+35+59.75</f>
        <v>281.72000000000003</v>
      </c>
      <c r="F56" s="60">
        <v>74.22</v>
      </c>
      <c r="G56" s="60">
        <f t="shared" si="6"/>
        <v>15.103769999999999</v>
      </c>
      <c r="H56" s="60">
        <f t="shared" si="7"/>
        <v>89.323769999999996</v>
      </c>
      <c r="I56" s="60">
        <f t="shared" si="8"/>
        <v>25164.292484400001</v>
      </c>
    </row>
    <row r="57" spans="1:12" ht="25.5" x14ac:dyDescent="0.25">
      <c r="A57" s="1" t="s">
        <v>282</v>
      </c>
      <c r="B57" s="1">
        <v>96121</v>
      </c>
      <c r="C57" s="4" t="s">
        <v>178</v>
      </c>
      <c r="D57" s="1" t="s">
        <v>127</v>
      </c>
      <c r="E57" s="65">
        <f>11.95+11.95+5+5+5+5+3.05+3.05+2+2+2.85+2.85+3+3+3+3+7+7+5+5+3.53+3.53+2.43+2.43+3.53+3.53+2.43+2.43+7+7+5+5+7+7+5+5+7+7+5+5+7+7+5+5</f>
        <v>215.54000000000002</v>
      </c>
      <c r="F57" s="60">
        <v>11.32</v>
      </c>
      <c r="G57" s="60">
        <f t="shared" si="6"/>
        <v>2.30362</v>
      </c>
      <c r="H57" s="60">
        <f t="shared" si="7"/>
        <v>13.623620000000001</v>
      </c>
      <c r="I57" s="60">
        <f t="shared" si="8"/>
        <v>2936.4350548000002</v>
      </c>
    </row>
    <row r="58" spans="1:12" x14ac:dyDescent="0.25">
      <c r="A58" s="1" t="s">
        <v>283</v>
      </c>
      <c r="B58" s="1">
        <v>102234</v>
      </c>
      <c r="C58" s="4" t="s">
        <v>179</v>
      </c>
      <c r="D58" s="1" t="s">
        <v>125</v>
      </c>
      <c r="E58" s="65">
        <f>E50</f>
        <v>194.01</v>
      </c>
      <c r="F58" s="60">
        <v>18.260000000000002</v>
      </c>
      <c r="G58" s="60">
        <f t="shared" si="6"/>
        <v>3.71591</v>
      </c>
      <c r="H58" s="60">
        <f t="shared" si="7"/>
        <v>21.975910000000002</v>
      </c>
      <c r="I58" s="60">
        <f t="shared" si="8"/>
        <v>4263.5462991000004</v>
      </c>
    </row>
    <row r="59" spans="1:12" x14ac:dyDescent="0.25">
      <c r="A59" s="123" t="s">
        <v>48</v>
      </c>
      <c r="B59" s="123"/>
      <c r="C59" s="123"/>
      <c r="D59" s="123"/>
      <c r="E59" s="123"/>
      <c r="F59" s="123"/>
      <c r="G59" s="123"/>
      <c r="H59" s="123"/>
      <c r="I59" s="59">
        <f>SUM(I41:I58)</f>
        <v>187691.84069475002</v>
      </c>
      <c r="J59" s="66"/>
    </row>
    <row r="60" spans="1:12" x14ac:dyDescent="0.25">
      <c r="A60" s="103">
        <v>6</v>
      </c>
      <c r="B60" s="103" t="s">
        <v>7</v>
      </c>
      <c r="C60" s="104" t="s">
        <v>46</v>
      </c>
      <c r="D60" s="105"/>
      <c r="E60" s="105"/>
      <c r="F60" s="105"/>
      <c r="G60" s="105"/>
      <c r="H60" s="105"/>
      <c r="I60" s="106"/>
    </row>
    <row r="61" spans="1:12" ht="38.25" x14ac:dyDescent="0.25">
      <c r="A61" s="1" t="s">
        <v>29</v>
      </c>
      <c r="B61" s="1">
        <v>87879</v>
      </c>
      <c r="C61" s="4" t="s">
        <v>70</v>
      </c>
      <c r="D61" s="1" t="s">
        <v>125</v>
      </c>
      <c r="E61" s="65">
        <f>E21*2</f>
        <v>1390.3899999999994</v>
      </c>
      <c r="F61" s="60">
        <v>3.45</v>
      </c>
      <c r="G61" s="60">
        <f>(F61*$G$2)</f>
        <v>0.702075</v>
      </c>
      <c r="H61" s="60">
        <f>(F61+G61)</f>
        <v>4.152075</v>
      </c>
      <c r="I61" s="60">
        <f>H61*E61</f>
        <v>5773.0035592499971</v>
      </c>
      <c r="L61" s="66"/>
    </row>
    <row r="62" spans="1:12" x14ac:dyDescent="0.25">
      <c r="A62" s="124" t="s">
        <v>0</v>
      </c>
      <c r="B62" s="124" t="s">
        <v>1</v>
      </c>
      <c r="C62" s="125" t="str">
        <f>$C$1</f>
        <v>Descrição Obra/Serviços de Ampliação e Reforma da Escola da Vila 12 de Maio</v>
      </c>
      <c r="D62" s="124" t="s">
        <v>2</v>
      </c>
      <c r="E62" s="126" t="s">
        <v>3</v>
      </c>
      <c r="F62" s="122" t="s">
        <v>4</v>
      </c>
      <c r="G62" s="109" t="s">
        <v>12</v>
      </c>
      <c r="H62" s="121" t="s">
        <v>5</v>
      </c>
      <c r="I62" s="122" t="s">
        <v>6</v>
      </c>
      <c r="L62" s="66"/>
    </row>
    <row r="63" spans="1:12" x14ac:dyDescent="0.25">
      <c r="A63" s="124"/>
      <c r="B63" s="124"/>
      <c r="C63" s="125"/>
      <c r="D63" s="124"/>
      <c r="E63" s="126"/>
      <c r="F63" s="122"/>
      <c r="G63" s="39">
        <f>$G$2</f>
        <v>0.20349999999999999</v>
      </c>
      <c r="H63" s="121"/>
      <c r="I63" s="122"/>
      <c r="L63" s="66"/>
    </row>
    <row r="64" spans="1:12" ht="51" x14ac:dyDescent="0.25">
      <c r="A64" s="1" t="s">
        <v>30</v>
      </c>
      <c r="B64" s="1">
        <v>87529</v>
      </c>
      <c r="C64" s="4" t="s">
        <v>71</v>
      </c>
      <c r="D64" s="1" t="s">
        <v>125</v>
      </c>
      <c r="E64" s="65">
        <f>E61</f>
        <v>1390.3899999999994</v>
      </c>
      <c r="F64" s="60">
        <v>29.01</v>
      </c>
      <c r="G64" s="60">
        <f>(F64*$G$2)</f>
        <v>5.9035349999999998</v>
      </c>
      <c r="H64" s="60">
        <f>(F64+G64)</f>
        <v>34.913535000000003</v>
      </c>
      <c r="I64" s="60">
        <f>H64*E64</f>
        <v>48543.429928649981</v>
      </c>
      <c r="J64" s="63"/>
      <c r="L64" s="66"/>
    </row>
    <row r="65" spans="1:12" ht="25.5" x14ac:dyDescent="0.25">
      <c r="A65" s="1" t="s">
        <v>72</v>
      </c>
      <c r="B65" s="1">
        <v>87886</v>
      </c>
      <c r="C65" s="4" t="s">
        <v>230</v>
      </c>
      <c r="D65" s="1" t="s">
        <v>125</v>
      </c>
      <c r="E65" s="65">
        <f>E36</f>
        <v>39.96</v>
      </c>
      <c r="F65" s="60">
        <v>16.47</v>
      </c>
      <c r="G65" s="60">
        <f>(F65*$G$2)</f>
        <v>3.3516449999999995</v>
      </c>
      <c r="H65" s="60">
        <f>(F65+G65)</f>
        <v>19.821644999999997</v>
      </c>
      <c r="I65" s="60">
        <f>(H65*E65)</f>
        <v>792.07293419999985</v>
      </c>
      <c r="J65" s="63"/>
    </row>
    <row r="66" spans="1:12" ht="38.25" customHeight="1" x14ac:dyDescent="0.25">
      <c r="A66" s="1" t="s">
        <v>244</v>
      </c>
      <c r="B66" s="1">
        <v>90406</v>
      </c>
      <c r="C66" s="4" t="s">
        <v>73</v>
      </c>
      <c r="D66" s="1" t="s">
        <v>125</v>
      </c>
      <c r="E66" s="65">
        <f>E65</f>
        <v>39.96</v>
      </c>
      <c r="F66" s="60">
        <v>38</v>
      </c>
      <c r="G66" s="60">
        <f>(F66*$G$2)</f>
        <v>7.7329999999999997</v>
      </c>
      <c r="H66" s="60">
        <f>(F66+G66)</f>
        <v>45.732999999999997</v>
      </c>
      <c r="I66" s="60">
        <f>(H66*E66)</f>
        <v>1827.4906799999999</v>
      </c>
      <c r="K66" s="63"/>
    </row>
    <row r="67" spans="1:12" x14ac:dyDescent="0.25">
      <c r="A67" s="123" t="s">
        <v>49</v>
      </c>
      <c r="B67" s="123"/>
      <c r="C67" s="123"/>
      <c r="D67" s="123"/>
      <c r="E67" s="123"/>
      <c r="F67" s="123"/>
      <c r="G67" s="123"/>
      <c r="H67" s="123"/>
      <c r="I67" s="59">
        <f>SUM(I61:I66)</f>
        <v>56935.99710209998</v>
      </c>
    </row>
    <row r="68" spans="1:12" x14ac:dyDescent="0.25">
      <c r="A68" s="103">
        <v>7</v>
      </c>
      <c r="B68" s="103" t="s">
        <v>7</v>
      </c>
      <c r="C68" s="104" t="s">
        <v>45</v>
      </c>
      <c r="D68" s="105"/>
      <c r="E68" s="105"/>
      <c r="F68" s="105"/>
      <c r="G68" s="105"/>
      <c r="H68" s="105"/>
      <c r="I68" s="106"/>
    </row>
    <row r="69" spans="1:12" ht="51" x14ac:dyDescent="0.25">
      <c r="A69" s="1" t="s">
        <v>31</v>
      </c>
      <c r="B69" s="1">
        <v>93392</v>
      </c>
      <c r="C69" s="4" t="s">
        <v>64</v>
      </c>
      <c r="D69" s="1" t="s">
        <v>125</v>
      </c>
      <c r="E69" s="65">
        <f>((1.3)*(3.53+0.1+0.21+1.53+1.21+3.53+3.53+1.53+0.21+0.21+0.1+3.53+1.1+0.1+0.1+3+2+0.1+1.28+0.66+0.1+1.28+1.46+2.37+1.46+1.37+0.1+1.46))+(1.2)*(5+0.53+3.05+0.53+5+1.3+1.59+1.93+1.59+1.93+1.59+0.8+1.05+1.05+0.1+1.39)+(1.05*2)+(1.1*2*5)</f>
        <v>95.524000000000001</v>
      </c>
      <c r="F69" s="60">
        <v>50.74</v>
      </c>
      <c r="G69" s="60">
        <f>(F69*$G$2)</f>
        <v>10.32559</v>
      </c>
      <c r="H69" s="60">
        <f>(F69+G69)</f>
        <v>61.06559</v>
      </c>
      <c r="I69" s="60">
        <f>(H69*E69)</f>
        <v>5833.2294191600004</v>
      </c>
      <c r="L69" s="66"/>
    </row>
    <row r="70" spans="1:12" x14ac:dyDescent="0.25">
      <c r="A70" s="123" t="s">
        <v>50</v>
      </c>
      <c r="B70" s="123"/>
      <c r="C70" s="123"/>
      <c r="D70" s="123"/>
      <c r="E70" s="123"/>
      <c r="F70" s="123"/>
      <c r="G70" s="123"/>
      <c r="H70" s="123"/>
      <c r="I70" s="59">
        <f>SUM(I69:I69)</f>
        <v>5833.2294191600004</v>
      </c>
    </row>
    <row r="71" spans="1:12" x14ac:dyDescent="0.25">
      <c r="A71" s="103">
        <v>8</v>
      </c>
      <c r="B71" s="103" t="s">
        <v>7</v>
      </c>
      <c r="C71" s="104" t="s">
        <v>14</v>
      </c>
      <c r="D71" s="105"/>
      <c r="E71" s="105"/>
      <c r="F71" s="105"/>
      <c r="G71" s="105"/>
      <c r="H71" s="105"/>
      <c r="I71" s="106"/>
      <c r="K71" s="66"/>
    </row>
    <row r="72" spans="1:12" ht="64.5" customHeight="1" x14ac:dyDescent="0.25">
      <c r="A72" s="1" t="s">
        <v>247</v>
      </c>
      <c r="B72" s="1">
        <v>91313</v>
      </c>
      <c r="C72" s="4" t="s">
        <v>56</v>
      </c>
      <c r="D72" s="1" t="s">
        <v>111</v>
      </c>
      <c r="E72" s="65">
        <v>1</v>
      </c>
      <c r="F72" s="60">
        <v>773.64</v>
      </c>
      <c r="G72" s="60">
        <f>(F72*$G$2)</f>
        <v>157.43573999999998</v>
      </c>
      <c r="H72" s="60">
        <f>(F72+G72)</f>
        <v>931.07574</v>
      </c>
      <c r="I72" s="60">
        <f>(H72*E72)</f>
        <v>931.07574</v>
      </c>
      <c r="L72" s="66"/>
    </row>
    <row r="73" spans="1:12" ht="52.5" customHeight="1" x14ac:dyDescent="0.25">
      <c r="A73" s="1" t="s">
        <v>32</v>
      </c>
      <c r="B73" s="1">
        <v>91314</v>
      </c>
      <c r="C73" s="4" t="s">
        <v>57</v>
      </c>
      <c r="D73" s="1" t="s">
        <v>111</v>
      </c>
      <c r="E73" s="65">
        <v>10</v>
      </c>
      <c r="F73" s="60">
        <v>809.79</v>
      </c>
      <c r="G73" s="60">
        <f>(F73*$G$2)</f>
        <v>164.79226499999999</v>
      </c>
      <c r="H73" s="60">
        <f>(F73+G73)</f>
        <v>974.58226500000001</v>
      </c>
      <c r="I73" s="60">
        <f>(H73*E73)</f>
        <v>9745.8226500000001</v>
      </c>
    </row>
    <row r="74" spans="1:12" ht="52.5" customHeight="1" x14ac:dyDescent="0.25">
      <c r="A74" s="1" t="s">
        <v>33</v>
      </c>
      <c r="B74" s="1">
        <v>91315</v>
      </c>
      <c r="C74" s="4" t="s">
        <v>213</v>
      </c>
      <c r="D74" s="1" t="s">
        <v>111</v>
      </c>
      <c r="E74" s="65">
        <v>1</v>
      </c>
      <c r="F74" s="60">
        <v>883.14</v>
      </c>
      <c r="G74" s="60">
        <f>(F74*$G$2)</f>
        <v>179.71898999999999</v>
      </c>
      <c r="H74" s="60">
        <f>(F74+G74)</f>
        <v>1062.8589899999999</v>
      </c>
      <c r="I74" s="60">
        <f>(H74*E74)</f>
        <v>1062.8589899999999</v>
      </c>
    </row>
    <row r="75" spans="1:12" ht="38.25" customHeight="1" x14ac:dyDescent="0.25">
      <c r="A75" s="1" t="s">
        <v>317</v>
      </c>
      <c r="B75" s="1">
        <v>94573</v>
      </c>
      <c r="C75" s="4" t="s">
        <v>231</v>
      </c>
      <c r="D75" s="1" t="s">
        <v>125</v>
      </c>
      <c r="E75" s="65">
        <f>(11*2*1)</f>
        <v>22</v>
      </c>
      <c r="F75" s="60">
        <v>375.31</v>
      </c>
      <c r="G75" s="60">
        <f>(F75*$G$2)</f>
        <v>76.375585000000001</v>
      </c>
      <c r="H75" s="60">
        <f>(F75+G75)</f>
        <v>451.685585</v>
      </c>
      <c r="I75" s="60">
        <f>(H75*E75)</f>
        <v>9937.0828700000002</v>
      </c>
    </row>
    <row r="76" spans="1:12" ht="38.25" x14ac:dyDescent="0.25">
      <c r="A76" s="1" t="s">
        <v>248</v>
      </c>
      <c r="B76" s="1">
        <v>94569</v>
      </c>
      <c r="C76" s="4" t="s">
        <v>58</v>
      </c>
      <c r="D76" s="1" t="s">
        <v>125</v>
      </c>
      <c r="E76" s="65">
        <f>(0.6*0.6)+(2*2.8*0.8)+(2.8*0.4)+(0.8*0.8)</f>
        <v>6.6</v>
      </c>
      <c r="F76" s="60">
        <v>535.55999999999995</v>
      </c>
      <c r="G76" s="60">
        <f>(F76*$G$2)</f>
        <v>108.98645999999998</v>
      </c>
      <c r="H76" s="60">
        <f>(F76+G76)</f>
        <v>644.54645999999991</v>
      </c>
      <c r="I76" s="60">
        <f>(H76*E76)</f>
        <v>4254.0066359999992</v>
      </c>
      <c r="L76" s="66"/>
    </row>
    <row r="77" spans="1:12" x14ac:dyDescent="0.25">
      <c r="A77" s="128" t="s">
        <v>0</v>
      </c>
      <c r="B77" s="128" t="s">
        <v>1</v>
      </c>
      <c r="C77" s="125" t="str">
        <f>$C$1</f>
        <v>Descrição Obra/Serviços de Ampliação e Reforma da Escola da Vila 12 de Maio</v>
      </c>
      <c r="D77" s="128" t="s">
        <v>2</v>
      </c>
      <c r="E77" s="129" t="s">
        <v>3</v>
      </c>
      <c r="F77" s="130" t="s">
        <v>4</v>
      </c>
      <c r="G77" s="108" t="s">
        <v>12</v>
      </c>
      <c r="H77" s="131" t="s">
        <v>5</v>
      </c>
      <c r="I77" s="133" t="s">
        <v>6</v>
      </c>
      <c r="L77" s="66"/>
    </row>
    <row r="78" spans="1:12" x14ac:dyDescent="0.25">
      <c r="A78" s="128"/>
      <c r="B78" s="128"/>
      <c r="C78" s="125"/>
      <c r="D78" s="128"/>
      <c r="E78" s="129"/>
      <c r="F78" s="130"/>
      <c r="G78" s="2">
        <f>$G$2</f>
        <v>0.20349999999999999</v>
      </c>
      <c r="H78" s="132"/>
      <c r="I78" s="134"/>
      <c r="L78" s="66"/>
    </row>
    <row r="79" spans="1:12" x14ac:dyDescent="0.25">
      <c r="A79" s="123" t="s">
        <v>51</v>
      </c>
      <c r="B79" s="123"/>
      <c r="C79" s="123"/>
      <c r="D79" s="123"/>
      <c r="E79" s="123"/>
      <c r="F79" s="123"/>
      <c r="G79" s="123"/>
      <c r="H79" s="123"/>
      <c r="I79" s="59">
        <f>SUM(I72:I76)</f>
        <v>25930.846885999999</v>
      </c>
    </row>
    <row r="80" spans="1:12" x14ac:dyDescent="0.25">
      <c r="A80" s="103">
        <v>9</v>
      </c>
      <c r="B80" s="103" t="s">
        <v>7</v>
      </c>
      <c r="C80" s="104" t="s">
        <v>44</v>
      </c>
      <c r="D80" s="105"/>
      <c r="E80" s="105"/>
      <c r="F80" s="105"/>
      <c r="G80" s="105"/>
      <c r="H80" s="105"/>
      <c r="I80" s="106"/>
    </row>
    <row r="81" spans="1:11" ht="38.25" x14ac:dyDescent="0.25">
      <c r="A81" s="1" t="s">
        <v>249</v>
      </c>
      <c r="B81" s="1">
        <v>87700</v>
      </c>
      <c r="C81" s="4" t="s">
        <v>180</v>
      </c>
      <c r="D81" s="1" t="s">
        <v>125</v>
      </c>
      <c r="E81" s="65">
        <f>24.08+41.32+8.69+8.69+(4*35.16)+145.36</f>
        <v>368.78</v>
      </c>
      <c r="F81" s="60">
        <v>42.21</v>
      </c>
      <c r="G81" s="60">
        <f>(F81*$G$2)</f>
        <v>8.5897349999999992</v>
      </c>
      <c r="H81" s="60">
        <f>(F81+G81)</f>
        <v>50.799734999999998</v>
      </c>
      <c r="I81" s="60">
        <f>(H81*E81)</f>
        <v>18733.9262733</v>
      </c>
    </row>
    <row r="82" spans="1:11" ht="38.25" x14ac:dyDescent="0.25">
      <c r="A82" s="1" t="s">
        <v>250</v>
      </c>
      <c r="B82" s="1">
        <v>87257</v>
      </c>
      <c r="C82" s="4" t="s">
        <v>59</v>
      </c>
      <c r="D82" s="1" t="s">
        <v>125</v>
      </c>
      <c r="E82" s="65">
        <f>24.08+41.32+8.69+8.69+(4*35.16)</f>
        <v>223.42</v>
      </c>
      <c r="F82" s="60">
        <v>70.87</v>
      </c>
      <c r="G82" s="60">
        <f>(F82*$G$2)</f>
        <v>14.422045000000001</v>
      </c>
      <c r="H82" s="60">
        <f>(F82+G82)</f>
        <v>85.292045000000002</v>
      </c>
      <c r="I82" s="60">
        <f>(H82*E82)</f>
        <v>19055.948693899998</v>
      </c>
    </row>
    <row r="83" spans="1:11" ht="25.5" x14ac:dyDescent="0.25">
      <c r="A83" s="1" t="s">
        <v>285</v>
      </c>
      <c r="B83" s="1">
        <v>96386</v>
      </c>
      <c r="C83" s="4" t="s">
        <v>286</v>
      </c>
      <c r="D83" s="1" t="s">
        <v>126</v>
      </c>
      <c r="E83" s="67">
        <f>533.65*0.15</f>
        <v>80.047499999999999</v>
      </c>
      <c r="F83" s="60">
        <v>6.28</v>
      </c>
      <c r="G83" s="60">
        <f>(F83*$G$2)</f>
        <v>1.2779799999999999</v>
      </c>
      <c r="H83" s="60">
        <f>(F83+G83)</f>
        <v>7.5579800000000006</v>
      </c>
      <c r="I83" s="60">
        <f>(H83*E83)</f>
        <v>604.99740405</v>
      </c>
    </row>
    <row r="84" spans="1:11" x14ac:dyDescent="0.25">
      <c r="A84" s="123" t="s">
        <v>52</v>
      </c>
      <c r="B84" s="123"/>
      <c r="C84" s="123"/>
      <c r="D84" s="123"/>
      <c r="E84" s="123"/>
      <c r="F84" s="123"/>
      <c r="G84" s="123"/>
      <c r="H84" s="123"/>
      <c r="I84" s="59">
        <f>SUM(I81:I83)</f>
        <v>38394.87237125</v>
      </c>
    </row>
    <row r="85" spans="1:11" x14ac:dyDescent="0.25">
      <c r="A85" s="103">
        <v>10</v>
      </c>
      <c r="B85" s="103" t="s">
        <v>7</v>
      </c>
      <c r="C85" s="104" t="s">
        <v>43</v>
      </c>
      <c r="D85" s="105"/>
      <c r="E85" s="105"/>
      <c r="F85" s="105"/>
      <c r="G85" s="105"/>
      <c r="H85" s="105"/>
      <c r="I85" s="106"/>
    </row>
    <row r="86" spans="1:11" ht="38.25" x14ac:dyDescent="0.25">
      <c r="A86" s="1" t="s">
        <v>34</v>
      </c>
      <c r="B86" s="1">
        <v>93145</v>
      </c>
      <c r="C86" s="4" t="s">
        <v>190</v>
      </c>
      <c r="D86" s="1" t="s">
        <v>111</v>
      </c>
      <c r="E86" s="65">
        <v>2</v>
      </c>
      <c r="F86" s="60">
        <v>198.62</v>
      </c>
      <c r="G86" s="60">
        <f t="shared" ref="G86:G94" si="9">(F86*$G$2)</f>
        <v>40.419170000000001</v>
      </c>
      <c r="H86" s="60">
        <f t="shared" ref="H86:H94" si="10">(F86+G86)</f>
        <v>239.03917000000001</v>
      </c>
      <c r="I86" s="60">
        <f t="shared" ref="I86:I94" si="11">(H86*E86)</f>
        <v>478.07834000000003</v>
      </c>
    </row>
    <row r="87" spans="1:11" ht="38.25" x14ac:dyDescent="0.25">
      <c r="A87" s="1" t="s">
        <v>35</v>
      </c>
      <c r="B87" s="1">
        <v>93128</v>
      </c>
      <c r="C87" s="4" t="s">
        <v>232</v>
      </c>
      <c r="D87" s="1" t="s">
        <v>111</v>
      </c>
      <c r="E87" s="65">
        <v>14</v>
      </c>
      <c r="F87" s="60">
        <v>130.19</v>
      </c>
      <c r="G87" s="60">
        <f t="shared" si="9"/>
        <v>26.493664999999996</v>
      </c>
      <c r="H87" s="60">
        <f t="shared" si="10"/>
        <v>156.68366499999999</v>
      </c>
      <c r="I87" s="60">
        <f t="shared" si="11"/>
        <v>2193.5713099999998</v>
      </c>
    </row>
    <row r="88" spans="1:11" ht="38.25" x14ac:dyDescent="0.25">
      <c r="A88" s="1" t="s">
        <v>36</v>
      </c>
      <c r="B88" s="1">
        <v>93137</v>
      </c>
      <c r="C88" s="4" t="s">
        <v>233</v>
      </c>
      <c r="D88" s="1" t="s">
        <v>111</v>
      </c>
      <c r="E88" s="65">
        <v>3</v>
      </c>
      <c r="F88" s="60">
        <v>155.41</v>
      </c>
      <c r="G88" s="60">
        <f t="shared" si="9"/>
        <v>31.625934999999998</v>
      </c>
      <c r="H88" s="60">
        <f t="shared" si="10"/>
        <v>187.03593499999999</v>
      </c>
      <c r="I88" s="60">
        <f t="shared" si="11"/>
        <v>561.10780499999998</v>
      </c>
    </row>
    <row r="89" spans="1:11" ht="38.25" x14ac:dyDescent="0.25">
      <c r="A89" s="1" t="s">
        <v>37</v>
      </c>
      <c r="B89" s="1" t="s">
        <v>274</v>
      </c>
      <c r="C89" s="4" t="s">
        <v>234</v>
      </c>
      <c r="D89" s="1" t="s">
        <v>111</v>
      </c>
      <c r="E89" s="65">
        <v>1</v>
      </c>
      <c r="F89" s="60">
        <f>Composições!F21</f>
        <v>169.26</v>
      </c>
      <c r="G89" s="60">
        <f t="shared" si="9"/>
        <v>34.444409999999998</v>
      </c>
      <c r="H89" s="60">
        <f t="shared" si="10"/>
        <v>203.70441</v>
      </c>
      <c r="I89" s="60">
        <f t="shared" si="11"/>
        <v>203.70441</v>
      </c>
    </row>
    <row r="90" spans="1:11" ht="26.25" customHeight="1" x14ac:dyDescent="0.25">
      <c r="A90" s="1" t="s">
        <v>38</v>
      </c>
      <c r="B90" s="1">
        <v>93143</v>
      </c>
      <c r="C90" s="4" t="s">
        <v>235</v>
      </c>
      <c r="D90" s="1" t="s">
        <v>111</v>
      </c>
      <c r="E90" s="65">
        <v>37</v>
      </c>
      <c r="F90" s="60">
        <v>164.33</v>
      </c>
      <c r="G90" s="60">
        <f t="shared" si="9"/>
        <v>33.441155000000002</v>
      </c>
      <c r="H90" s="60">
        <f t="shared" si="10"/>
        <v>197.77115500000002</v>
      </c>
      <c r="I90" s="60">
        <f t="shared" si="11"/>
        <v>7317.5327350000007</v>
      </c>
    </row>
    <row r="91" spans="1:11" x14ac:dyDescent="0.25">
      <c r="A91" s="1" t="s">
        <v>39</v>
      </c>
      <c r="B91" s="1">
        <v>98307</v>
      </c>
      <c r="C91" s="4" t="s">
        <v>240</v>
      </c>
      <c r="D91" s="1" t="s">
        <v>111</v>
      </c>
      <c r="E91" s="65">
        <v>13</v>
      </c>
      <c r="F91" s="60">
        <v>45.61</v>
      </c>
      <c r="G91" s="60">
        <f t="shared" si="9"/>
        <v>9.2816349999999996</v>
      </c>
      <c r="H91" s="60">
        <f t="shared" si="10"/>
        <v>54.891635000000001</v>
      </c>
      <c r="I91" s="60">
        <f t="shared" si="11"/>
        <v>713.59125500000005</v>
      </c>
    </row>
    <row r="92" spans="1:11" x14ac:dyDescent="0.25">
      <c r="A92" s="1" t="s">
        <v>150</v>
      </c>
      <c r="B92" s="1">
        <v>98308</v>
      </c>
      <c r="C92" s="4" t="s">
        <v>241</v>
      </c>
      <c r="D92" s="1" t="s">
        <v>111</v>
      </c>
      <c r="E92" s="65">
        <v>4</v>
      </c>
      <c r="F92" s="60">
        <v>29.46</v>
      </c>
      <c r="G92" s="60">
        <f t="shared" si="9"/>
        <v>5.9951099999999995</v>
      </c>
      <c r="H92" s="60">
        <f t="shared" si="10"/>
        <v>35.455109999999998</v>
      </c>
      <c r="I92" s="60">
        <f t="shared" si="11"/>
        <v>141.82043999999999</v>
      </c>
    </row>
    <row r="93" spans="1:11" ht="25.5" x14ac:dyDescent="0.25">
      <c r="A93" s="1" t="s">
        <v>236</v>
      </c>
      <c r="B93" s="1">
        <v>97592</v>
      </c>
      <c r="C93" s="4" t="s">
        <v>242</v>
      </c>
      <c r="D93" s="1" t="s">
        <v>111</v>
      </c>
      <c r="E93" s="65">
        <v>34</v>
      </c>
      <c r="F93" s="60">
        <v>38.25</v>
      </c>
      <c r="G93" s="60">
        <f t="shared" si="9"/>
        <v>7.7838749999999992</v>
      </c>
      <c r="H93" s="60">
        <f t="shared" si="10"/>
        <v>46.033875000000002</v>
      </c>
      <c r="I93" s="60">
        <f t="shared" si="11"/>
        <v>1565.15175</v>
      </c>
    </row>
    <row r="94" spans="1:11" ht="25.5" x14ac:dyDescent="0.25">
      <c r="A94" s="1" t="s">
        <v>237</v>
      </c>
      <c r="B94" s="1">
        <v>101890</v>
      </c>
      <c r="C94" s="4" t="s">
        <v>191</v>
      </c>
      <c r="D94" s="1" t="s">
        <v>111</v>
      </c>
      <c r="E94" s="65">
        <v>6</v>
      </c>
      <c r="F94" s="60">
        <v>16.16</v>
      </c>
      <c r="G94" s="60">
        <f t="shared" si="9"/>
        <v>3.2885599999999999</v>
      </c>
      <c r="H94" s="60">
        <f t="shared" si="10"/>
        <v>19.448560000000001</v>
      </c>
      <c r="I94" s="60">
        <f t="shared" si="11"/>
        <v>116.69136</v>
      </c>
    </row>
    <row r="95" spans="1:11" ht="25.5" x14ac:dyDescent="0.25">
      <c r="A95" s="1" t="s">
        <v>238</v>
      </c>
      <c r="B95" s="1">
        <v>101892</v>
      </c>
      <c r="C95" s="4" t="s">
        <v>243</v>
      </c>
      <c r="D95" s="1" t="s">
        <v>111</v>
      </c>
      <c r="E95" s="65">
        <v>1</v>
      </c>
      <c r="F95" s="60">
        <v>73.599999999999994</v>
      </c>
      <c r="G95" s="60">
        <f>(F95*$G$2)</f>
        <v>14.977599999999997</v>
      </c>
      <c r="H95" s="60">
        <f>(F95+G95)</f>
        <v>88.57759999999999</v>
      </c>
      <c r="I95" s="60">
        <f>(H95*E95)</f>
        <v>88.57759999999999</v>
      </c>
      <c r="K95" s="66"/>
    </row>
    <row r="96" spans="1:11" x14ac:dyDescent="0.25">
      <c r="A96" s="128" t="s">
        <v>0</v>
      </c>
      <c r="B96" s="128" t="s">
        <v>1</v>
      </c>
      <c r="C96" s="125" t="str">
        <f>$C$1</f>
        <v>Descrição Obra/Serviços de Ampliação e Reforma da Escola da Vila 12 de Maio</v>
      </c>
      <c r="D96" s="128" t="s">
        <v>2</v>
      </c>
      <c r="E96" s="129" t="s">
        <v>3</v>
      </c>
      <c r="F96" s="130" t="s">
        <v>4</v>
      </c>
      <c r="G96" s="108" t="s">
        <v>12</v>
      </c>
      <c r="H96" s="131" t="s">
        <v>5</v>
      </c>
      <c r="I96" s="133" t="s">
        <v>6</v>
      </c>
      <c r="K96" s="66"/>
    </row>
    <row r="97" spans="1:12" x14ac:dyDescent="0.25">
      <c r="A97" s="128"/>
      <c r="B97" s="128"/>
      <c r="C97" s="125"/>
      <c r="D97" s="128"/>
      <c r="E97" s="129"/>
      <c r="F97" s="130"/>
      <c r="G97" s="2">
        <f>$G$2</f>
        <v>0.20349999999999999</v>
      </c>
      <c r="H97" s="132"/>
      <c r="I97" s="134"/>
      <c r="K97" s="66"/>
    </row>
    <row r="98" spans="1:12" ht="38.25" x14ac:dyDescent="0.25">
      <c r="A98" s="1" t="s">
        <v>239</v>
      </c>
      <c r="B98" s="1">
        <v>101875</v>
      </c>
      <c r="C98" s="4" t="s">
        <v>192</v>
      </c>
      <c r="D98" s="1" t="s">
        <v>111</v>
      </c>
      <c r="E98" s="65">
        <v>1</v>
      </c>
      <c r="F98" s="60">
        <v>524.79999999999995</v>
      </c>
      <c r="G98" s="60">
        <f>(F98*$G$2)</f>
        <v>106.79679999999999</v>
      </c>
      <c r="H98" s="60">
        <f>(F98+G98)</f>
        <v>631.59679999999992</v>
      </c>
      <c r="I98" s="60">
        <f>(H98*E98)</f>
        <v>631.59679999999992</v>
      </c>
      <c r="K98" s="66"/>
    </row>
    <row r="99" spans="1:12" x14ac:dyDescent="0.25">
      <c r="A99" s="127" t="s">
        <v>53</v>
      </c>
      <c r="B99" s="127"/>
      <c r="C99" s="127"/>
      <c r="D99" s="127"/>
      <c r="E99" s="127"/>
      <c r="F99" s="127"/>
      <c r="G99" s="127"/>
      <c r="H99" s="127"/>
      <c r="I99" s="68">
        <f>SUM(I86:I98)</f>
        <v>14011.423804999999</v>
      </c>
      <c r="K99" s="66"/>
    </row>
    <row r="100" spans="1:12" x14ac:dyDescent="0.25">
      <c r="A100" s="103">
        <v>11</v>
      </c>
      <c r="B100" s="103" t="s">
        <v>7</v>
      </c>
      <c r="C100" s="104" t="s">
        <v>15</v>
      </c>
      <c r="D100" s="105"/>
      <c r="E100" s="105"/>
      <c r="F100" s="105"/>
      <c r="G100" s="105"/>
      <c r="H100" s="105"/>
      <c r="I100" s="106"/>
    </row>
    <row r="101" spans="1:12" ht="25.5" x14ac:dyDescent="0.25">
      <c r="A101" s="1" t="s">
        <v>40</v>
      </c>
      <c r="B101" s="1">
        <v>100848</v>
      </c>
      <c r="C101" s="4" t="s">
        <v>251</v>
      </c>
      <c r="D101" s="1" t="s">
        <v>111</v>
      </c>
      <c r="E101" s="65">
        <v>6</v>
      </c>
      <c r="F101" s="60">
        <v>387.37</v>
      </c>
      <c r="G101" s="60">
        <f t="shared" ref="G101:G111" si="12">(F101*$G$2)</f>
        <v>78.82979499999999</v>
      </c>
      <c r="H101" s="60">
        <f t="shared" ref="H101:H111" si="13">(F101+G101)</f>
        <v>466.19979499999999</v>
      </c>
      <c r="I101" s="60">
        <f t="shared" ref="I101:I111" si="14">(H101*E101)</f>
        <v>2797.19877</v>
      </c>
    </row>
    <row r="102" spans="1:12" x14ac:dyDescent="0.25">
      <c r="A102" s="1" t="s">
        <v>41</v>
      </c>
      <c r="B102" s="1">
        <v>100851</v>
      </c>
      <c r="C102" s="4" t="s">
        <v>252</v>
      </c>
      <c r="D102" s="1" t="s">
        <v>111</v>
      </c>
      <c r="E102" s="65">
        <v>6</v>
      </c>
      <c r="F102" s="60">
        <v>79.62</v>
      </c>
      <c r="G102" s="60">
        <f t="shared" si="12"/>
        <v>16.202670000000001</v>
      </c>
      <c r="H102" s="60">
        <f t="shared" si="13"/>
        <v>95.822670000000002</v>
      </c>
      <c r="I102" s="60">
        <f t="shared" si="14"/>
        <v>574.93601999999998</v>
      </c>
    </row>
    <row r="103" spans="1:12" ht="38.25" x14ac:dyDescent="0.25">
      <c r="A103" s="1" t="s">
        <v>151</v>
      </c>
      <c r="B103" s="1">
        <v>86931</v>
      </c>
      <c r="C103" s="4" t="s">
        <v>60</v>
      </c>
      <c r="D103" s="1" t="s">
        <v>111</v>
      </c>
      <c r="E103" s="65">
        <v>4</v>
      </c>
      <c r="F103" s="60">
        <v>356.18</v>
      </c>
      <c r="G103" s="60">
        <f t="shared" si="12"/>
        <v>72.48263</v>
      </c>
      <c r="H103" s="60">
        <f t="shared" si="13"/>
        <v>428.66263000000004</v>
      </c>
      <c r="I103" s="60">
        <f t="shared" si="14"/>
        <v>1714.6505200000001</v>
      </c>
      <c r="L103" s="66"/>
    </row>
    <row r="104" spans="1:12" ht="25.5" x14ac:dyDescent="0.25">
      <c r="A104" s="1" t="s">
        <v>152</v>
      </c>
      <c r="B104" s="1">
        <v>100849</v>
      </c>
      <c r="C104" s="4" t="s">
        <v>253</v>
      </c>
      <c r="D104" s="1" t="s">
        <v>111</v>
      </c>
      <c r="E104" s="65">
        <v>4</v>
      </c>
      <c r="F104" s="60">
        <v>39.630000000000003</v>
      </c>
      <c r="G104" s="60">
        <f t="shared" si="12"/>
        <v>8.064705</v>
      </c>
      <c r="H104" s="60">
        <f t="shared" si="13"/>
        <v>47.694704999999999</v>
      </c>
      <c r="I104" s="60">
        <f t="shared" si="14"/>
        <v>190.77882</v>
      </c>
      <c r="L104" s="66"/>
    </row>
    <row r="105" spans="1:12" ht="51" x14ac:dyDescent="0.25">
      <c r="A105" s="1" t="s">
        <v>153</v>
      </c>
      <c r="B105" s="1">
        <v>86939</v>
      </c>
      <c r="C105" s="4" t="s">
        <v>61</v>
      </c>
      <c r="D105" s="1" t="s">
        <v>111</v>
      </c>
      <c r="E105" s="65">
        <v>8</v>
      </c>
      <c r="F105" s="60">
        <v>330.82</v>
      </c>
      <c r="G105" s="60">
        <f t="shared" si="12"/>
        <v>67.32186999999999</v>
      </c>
      <c r="H105" s="60">
        <f t="shared" si="13"/>
        <v>398.14186999999998</v>
      </c>
      <c r="I105" s="60">
        <f t="shared" si="14"/>
        <v>3185.1349599999999</v>
      </c>
      <c r="L105" s="66"/>
    </row>
    <row r="106" spans="1:12" ht="25.5" x14ac:dyDescent="0.25">
      <c r="A106" s="1" t="s">
        <v>154</v>
      </c>
      <c r="B106" s="1">
        <v>95546</v>
      </c>
      <c r="C106" s="4" t="s">
        <v>181</v>
      </c>
      <c r="D106" s="1" t="s">
        <v>111</v>
      </c>
      <c r="E106" s="65">
        <v>5</v>
      </c>
      <c r="F106" s="60">
        <v>205.69</v>
      </c>
      <c r="G106" s="60">
        <f t="shared" si="12"/>
        <v>41.857914999999998</v>
      </c>
      <c r="H106" s="60">
        <f t="shared" si="13"/>
        <v>247.54791499999999</v>
      </c>
      <c r="I106" s="60">
        <f t="shared" si="14"/>
        <v>1237.7395750000001</v>
      </c>
      <c r="L106" s="66"/>
    </row>
    <row r="107" spans="1:12" ht="38.25" x14ac:dyDescent="0.25">
      <c r="A107" s="1" t="s">
        <v>155</v>
      </c>
      <c r="B107" s="1">
        <v>89957</v>
      </c>
      <c r="C107" s="4" t="s">
        <v>182</v>
      </c>
      <c r="D107" s="1" t="s">
        <v>111</v>
      </c>
      <c r="E107" s="65">
        <v>23</v>
      </c>
      <c r="F107" s="60">
        <v>124.91</v>
      </c>
      <c r="G107" s="60">
        <f t="shared" si="12"/>
        <v>25.419184999999999</v>
      </c>
      <c r="H107" s="60">
        <f t="shared" si="13"/>
        <v>150.329185</v>
      </c>
      <c r="I107" s="60">
        <f t="shared" si="14"/>
        <v>3457.5712549999998</v>
      </c>
    </row>
    <row r="108" spans="1:12" ht="38.25" x14ac:dyDescent="0.25">
      <c r="A108" s="1" t="s">
        <v>156</v>
      </c>
      <c r="B108" s="1">
        <v>94489</v>
      </c>
      <c r="C108" s="4" t="s">
        <v>203</v>
      </c>
      <c r="D108" s="1" t="s">
        <v>111</v>
      </c>
      <c r="E108" s="65">
        <v>1</v>
      </c>
      <c r="F108" s="60">
        <v>33.270000000000003</v>
      </c>
      <c r="G108" s="60">
        <f t="shared" si="12"/>
        <v>6.7704450000000005</v>
      </c>
      <c r="H108" s="60">
        <f t="shared" si="13"/>
        <v>40.040445000000005</v>
      </c>
      <c r="I108" s="60">
        <f t="shared" si="14"/>
        <v>40.040445000000005</v>
      </c>
    </row>
    <row r="109" spans="1:12" ht="38.25" x14ac:dyDescent="0.25">
      <c r="A109" s="1" t="s">
        <v>157</v>
      </c>
      <c r="B109" s="1">
        <v>89971</v>
      </c>
      <c r="C109" s="4" t="s">
        <v>183</v>
      </c>
      <c r="D109" s="1" t="s">
        <v>111</v>
      </c>
      <c r="E109" s="65">
        <v>1</v>
      </c>
      <c r="F109" s="60">
        <v>53.35</v>
      </c>
      <c r="G109" s="60">
        <f t="shared" si="12"/>
        <v>10.856724999999999</v>
      </c>
      <c r="H109" s="60">
        <f t="shared" si="13"/>
        <v>64.206725000000006</v>
      </c>
      <c r="I109" s="60">
        <f t="shared" si="14"/>
        <v>64.206725000000006</v>
      </c>
    </row>
    <row r="110" spans="1:12" ht="38.25" x14ac:dyDescent="0.25">
      <c r="A110" s="1" t="s">
        <v>158</v>
      </c>
      <c r="B110" s="1">
        <v>89711</v>
      </c>
      <c r="C110" s="4" t="s">
        <v>184</v>
      </c>
      <c r="D110" s="1" t="s">
        <v>127</v>
      </c>
      <c r="E110" s="65">
        <v>36</v>
      </c>
      <c r="F110" s="60">
        <v>18.73</v>
      </c>
      <c r="G110" s="60">
        <f t="shared" si="12"/>
        <v>3.8115549999999998</v>
      </c>
      <c r="H110" s="60">
        <f t="shared" si="13"/>
        <v>22.541554999999999</v>
      </c>
      <c r="I110" s="60">
        <f t="shared" si="14"/>
        <v>811.49597999999992</v>
      </c>
    </row>
    <row r="111" spans="1:12" ht="38.25" x14ac:dyDescent="0.25">
      <c r="A111" s="1" t="s">
        <v>159</v>
      </c>
      <c r="B111" s="1">
        <v>89712</v>
      </c>
      <c r="C111" s="4" t="s">
        <v>185</v>
      </c>
      <c r="D111" s="1" t="s">
        <v>127</v>
      </c>
      <c r="E111" s="65">
        <v>36</v>
      </c>
      <c r="F111" s="60">
        <v>28.95</v>
      </c>
      <c r="G111" s="60">
        <f t="shared" si="12"/>
        <v>5.8913249999999993</v>
      </c>
      <c r="H111" s="60">
        <f t="shared" si="13"/>
        <v>34.841324999999998</v>
      </c>
      <c r="I111" s="60">
        <f t="shared" si="14"/>
        <v>1254.2876999999999</v>
      </c>
    </row>
    <row r="112" spans="1:12" x14ac:dyDescent="0.25">
      <c r="A112" s="128" t="s">
        <v>0</v>
      </c>
      <c r="B112" s="128" t="s">
        <v>1</v>
      </c>
      <c r="C112" s="125" t="str">
        <f>$C$1</f>
        <v>Descrição Obra/Serviços de Ampliação e Reforma da Escola da Vila 12 de Maio</v>
      </c>
      <c r="D112" s="128" t="s">
        <v>2</v>
      </c>
      <c r="E112" s="129" t="s">
        <v>3</v>
      </c>
      <c r="F112" s="130" t="s">
        <v>4</v>
      </c>
      <c r="G112" s="108" t="s">
        <v>12</v>
      </c>
      <c r="H112" s="131" t="s">
        <v>5</v>
      </c>
      <c r="I112" s="133" t="s">
        <v>6</v>
      </c>
    </row>
    <row r="113" spans="1:12" x14ac:dyDescent="0.25">
      <c r="A113" s="128"/>
      <c r="B113" s="128"/>
      <c r="C113" s="125"/>
      <c r="D113" s="128"/>
      <c r="E113" s="129"/>
      <c r="F113" s="130"/>
      <c r="G113" s="2">
        <f>$G$2</f>
        <v>0.20349999999999999</v>
      </c>
      <c r="H113" s="132"/>
      <c r="I113" s="134"/>
    </row>
    <row r="114" spans="1:12" ht="38.25" x14ac:dyDescent="0.25">
      <c r="A114" s="1" t="s">
        <v>160</v>
      </c>
      <c r="B114" s="1">
        <v>89713</v>
      </c>
      <c r="C114" s="4" t="s">
        <v>186</v>
      </c>
      <c r="D114" s="1" t="s">
        <v>127</v>
      </c>
      <c r="E114" s="65">
        <v>6</v>
      </c>
      <c r="F114" s="60">
        <v>44.15</v>
      </c>
      <c r="G114" s="60">
        <f t="shared" ref="G114:G122" si="15">(F114*$G$2)</f>
        <v>8.9845249999999997</v>
      </c>
      <c r="H114" s="60">
        <f t="shared" ref="H114:H122" si="16">(F114+G114)</f>
        <v>53.134524999999996</v>
      </c>
      <c r="I114" s="60">
        <f t="shared" ref="I114:I122" si="17">(H114*E114)</f>
        <v>318.80714999999998</v>
      </c>
    </row>
    <row r="115" spans="1:12" ht="38.25" x14ac:dyDescent="0.25">
      <c r="A115" s="1" t="s">
        <v>161</v>
      </c>
      <c r="B115" s="1">
        <v>89714</v>
      </c>
      <c r="C115" s="4" t="s">
        <v>187</v>
      </c>
      <c r="D115" s="1" t="s">
        <v>127</v>
      </c>
      <c r="E115" s="65">
        <v>36</v>
      </c>
      <c r="F115" s="60">
        <v>55.91</v>
      </c>
      <c r="G115" s="60">
        <f t="shared" si="15"/>
        <v>11.377684999999998</v>
      </c>
      <c r="H115" s="60">
        <f t="shared" si="16"/>
        <v>67.287684999999996</v>
      </c>
      <c r="I115" s="60">
        <f t="shared" si="17"/>
        <v>2422.3566599999999</v>
      </c>
    </row>
    <row r="116" spans="1:12" ht="25.5" x14ac:dyDescent="0.25">
      <c r="A116" s="1" t="s">
        <v>162</v>
      </c>
      <c r="B116" s="1">
        <v>89482</v>
      </c>
      <c r="C116" s="4" t="s">
        <v>188</v>
      </c>
      <c r="D116" s="1" t="s">
        <v>111</v>
      </c>
      <c r="E116" s="65">
        <v>6</v>
      </c>
      <c r="F116" s="60">
        <v>29.49</v>
      </c>
      <c r="G116" s="60">
        <f t="shared" si="15"/>
        <v>6.0012149999999993</v>
      </c>
      <c r="H116" s="60">
        <f t="shared" si="16"/>
        <v>35.491214999999997</v>
      </c>
      <c r="I116" s="60">
        <f t="shared" si="17"/>
        <v>212.94728999999998</v>
      </c>
    </row>
    <row r="117" spans="1:12" ht="25.5" x14ac:dyDescent="0.25">
      <c r="A117" s="1" t="s">
        <v>163</v>
      </c>
      <c r="B117" s="1">
        <v>41629</v>
      </c>
      <c r="C117" s="4" t="s">
        <v>189</v>
      </c>
      <c r="D117" s="1" t="s">
        <v>111</v>
      </c>
      <c r="E117" s="65">
        <v>4</v>
      </c>
      <c r="F117" s="60">
        <v>335.79</v>
      </c>
      <c r="G117" s="60">
        <f t="shared" si="15"/>
        <v>68.333264999999997</v>
      </c>
      <c r="H117" s="60">
        <f t="shared" si="16"/>
        <v>404.123265</v>
      </c>
      <c r="I117" s="60">
        <f t="shared" si="17"/>
        <v>1616.49306</v>
      </c>
    </row>
    <row r="118" spans="1:12" x14ac:dyDescent="0.25">
      <c r="A118" s="1" t="s">
        <v>164</v>
      </c>
      <c r="B118" s="1" t="s">
        <v>276</v>
      </c>
      <c r="C118" s="4" t="s">
        <v>258</v>
      </c>
      <c r="D118" s="1" t="s">
        <v>111</v>
      </c>
      <c r="E118" s="65">
        <v>1</v>
      </c>
      <c r="F118" s="60">
        <f>Composições!F5</f>
        <v>1561.5900000000001</v>
      </c>
      <c r="G118" s="60">
        <f t="shared" si="15"/>
        <v>317.78356500000001</v>
      </c>
      <c r="H118" s="60">
        <f t="shared" si="16"/>
        <v>1879.3735650000001</v>
      </c>
      <c r="I118" s="60">
        <f t="shared" si="17"/>
        <v>1879.3735650000001</v>
      </c>
    </row>
    <row r="119" spans="1:12" ht="38.25" x14ac:dyDescent="0.25">
      <c r="A119" s="1" t="s">
        <v>254</v>
      </c>
      <c r="B119" s="1">
        <v>98054</v>
      </c>
      <c r="C119" s="4" t="s">
        <v>259</v>
      </c>
      <c r="D119" s="1" t="s">
        <v>111</v>
      </c>
      <c r="E119" s="65">
        <v>1</v>
      </c>
      <c r="F119" s="60">
        <v>4016.17</v>
      </c>
      <c r="G119" s="60">
        <f t="shared" si="15"/>
        <v>817.29059499999994</v>
      </c>
      <c r="H119" s="60">
        <f t="shared" si="16"/>
        <v>4833.4605950000005</v>
      </c>
      <c r="I119" s="60">
        <f t="shared" si="17"/>
        <v>4833.4605950000005</v>
      </c>
    </row>
    <row r="120" spans="1:12" ht="38.25" x14ac:dyDescent="0.25">
      <c r="A120" s="1" t="s">
        <v>255</v>
      </c>
      <c r="B120" s="1">
        <v>98060</v>
      </c>
      <c r="C120" s="4" t="s">
        <v>260</v>
      </c>
      <c r="D120" s="1" t="s">
        <v>111</v>
      </c>
      <c r="E120" s="65">
        <v>1</v>
      </c>
      <c r="F120" s="60">
        <v>4577.7</v>
      </c>
      <c r="G120" s="60">
        <f t="shared" si="15"/>
        <v>931.56194999999991</v>
      </c>
      <c r="H120" s="60">
        <f t="shared" si="16"/>
        <v>5509.2619500000001</v>
      </c>
      <c r="I120" s="60">
        <f t="shared" si="17"/>
        <v>5509.2619500000001</v>
      </c>
    </row>
    <row r="121" spans="1:12" ht="38.25" x14ac:dyDescent="0.25">
      <c r="A121" s="1" t="s">
        <v>256</v>
      </c>
      <c r="B121" s="1">
        <v>98062</v>
      </c>
      <c r="C121" s="70" t="s">
        <v>261</v>
      </c>
      <c r="D121" s="71" t="s">
        <v>111</v>
      </c>
      <c r="E121" s="72">
        <v>1</v>
      </c>
      <c r="F121" s="60">
        <v>2556.71</v>
      </c>
      <c r="G121" s="60">
        <f t="shared" si="15"/>
        <v>520.29048499999999</v>
      </c>
      <c r="H121" s="60">
        <f t="shared" si="16"/>
        <v>3077.000485</v>
      </c>
      <c r="I121" s="60">
        <f t="shared" si="17"/>
        <v>3077.000485</v>
      </c>
    </row>
    <row r="122" spans="1:12" ht="38.25" x14ac:dyDescent="0.25">
      <c r="A122" s="1" t="s">
        <v>263</v>
      </c>
      <c r="B122" s="69">
        <v>98104</v>
      </c>
      <c r="C122" s="61" t="s">
        <v>262</v>
      </c>
      <c r="D122" s="50" t="s">
        <v>111</v>
      </c>
      <c r="E122" s="51">
        <v>1</v>
      </c>
      <c r="F122" s="60">
        <v>367.26</v>
      </c>
      <c r="G122" s="60">
        <f t="shared" si="15"/>
        <v>74.737409999999997</v>
      </c>
      <c r="H122" s="60">
        <f t="shared" si="16"/>
        <v>441.99741</v>
      </c>
      <c r="I122" s="60">
        <f t="shared" si="17"/>
        <v>441.99741</v>
      </c>
    </row>
    <row r="123" spans="1:12" x14ac:dyDescent="0.25">
      <c r="A123" s="123" t="s">
        <v>54</v>
      </c>
      <c r="B123" s="123"/>
      <c r="C123" s="127"/>
      <c r="D123" s="127"/>
      <c r="E123" s="127"/>
      <c r="F123" s="127"/>
      <c r="G123" s="127"/>
      <c r="H123" s="127"/>
      <c r="I123" s="68">
        <f>SUM(I101:I122)</f>
        <v>35639.738935000008</v>
      </c>
    </row>
    <row r="124" spans="1:12" x14ac:dyDescent="0.25">
      <c r="A124" s="103">
        <v>12</v>
      </c>
      <c r="B124" s="103" t="s">
        <v>7</v>
      </c>
      <c r="C124" s="104" t="s">
        <v>42</v>
      </c>
      <c r="D124" s="105"/>
      <c r="E124" s="105"/>
      <c r="F124" s="105"/>
      <c r="G124" s="105"/>
      <c r="H124" s="105"/>
      <c r="I124" s="106"/>
    </row>
    <row r="125" spans="1:12" ht="25.5" x14ac:dyDescent="0.25">
      <c r="A125" s="1" t="s">
        <v>165</v>
      </c>
      <c r="B125" s="1">
        <v>88485</v>
      </c>
      <c r="C125" s="4" t="s">
        <v>67</v>
      </c>
      <c r="D125" s="1" t="s">
        <v>125</v>
      </c>
      <c r="E125" s="65">
        <f>(157.76+99.8)*2+(3*(7.4+7+0.5+0.3+0.3+0.1+0.4+0.4+4.3+4.1+7+0.3+0.71+3.52+0.1+3.2+0.1+3.52+0.58+0.71+7+0.3+0.1+0.3+4.3+4.1+0.4+0.4+0.1+0.3+0.6+6.1+2.05+0.1+5.3+2.85+0.1+2.1+3+2.85+0.78+0.53+7.4+7+0.1+0.3+0.3+0.5+4.1+4.4+0.4+0.4+7+7+0.1+0.3+0.3+0.8+4.1+4.4+0.4+0.4+7+7+0.8+0.3+0.3+0.1+4.1+4.3+7+7.4+0.3+0.5+0.4+0.4+1.25+1.05+0.25))+(2*(3-1.05))+(2*3*(4.3+0.1))+(3*(1.43+0.81+0.1+1.61+2.52))+((3-1.3)*(3.53+0.1+0.21+1.53+1.21+3.53+3.53+1.53+0.21+0.21+0.1+3.53+1.1+0.1+0.1+3+2+0.1+1.28+0.66+0.1+1.28+0.33+0.53+2.37+1.46+0.33+0.24+1.46+0.1))+((3-1.2)*(5+0.53+3.05+0.53+5+1.59+1.3+1.93+1.59+1.59+1.93+0.8+1.05+1.05+0.1+1.39))+((3-1.05-1.05)*2)+(2*10*(0.8*(3-2.1)))+(0.8*(3-2.1))+(2*10*(2*(3-1)))+(2*(3-1))+(2*(3-1-1.1))+(2*2*(3-0.8-1.3))+(2*2*(3-0.8))+(2.8*(3-0.4))+(2.8*(3-0.4-1.3))+(2*0.7*(3-2.1))+(0.6*(3-1.3-0.6))+(0.8*(3-0.8-1.3))+(2*0.9*(3-2.1))+(5*(2*(3-1.1-1)))+(1.8*(3-2.1))+(3*(1+1.59+1.59+1.93+1.59+1.53+1.59+1.5+2.2137+0.1+0.24+0.58+0.48+0.02+0.5+1.83+1.63+1.86+1.66+1.66+1.91+2.74+2.74+0.1+1.71+0.1+0.1+5.65+5.2+0.28+0.43+0.28+3.18+2.55+1.8+1.6+1.6+1.85+1+1+0.1+0.1+0.1+0.35+1.65+1.65+0.1))+(5*2*(3-1))+(1.8*(3-2.1))+(2*4*(2*(3-1)))+(2*2*(0.8*(3-2.1)))+(2*2*(1.8*(3-2.1)))+(0.8*(3-0.8))+(0.6*(3-0.6))</f>
        <v>1619.8371000000002</v>
      </c>
      <c r="F125" s="60">
        <v>2.08</v>
      </c>
      <c r="G125" s="60">
        <f t="shared" ref="G125:G130" si="18">(F125*$G$2)</f>
        <v>0.42327999999999999</v>
      </c>
      <c r="H125" s="60">
        <f t="shared" ref="H125:H130" si="19">(F125+G125)</f>
        <v>2.5032800000000002</v>
      </c>
      <c r="I125" s="60">
        <f t="shared" ref="I125:I130" si="20">(H125*E125)</f>
        <v>4054.9058156880005</v>
      </c>
    </row>
    <row r="126" spans="1:12" ht="25.5" x14ac:dyDescent="0.25">
      <c r="A126" s="1" t="s">
        <v>166</v>
      </c>
      <c r="B126" s="1">
        <v>88489</v>
      </c>
      <c r="C126" s="4" t="s">
        <v>66</v>
      </c>
      <c r="D126" s="1" t="s">
        <v>125</v>
      </c>
      <c r="E126" s="65">
        <f>E125</f>
        <v>1619.8371000000002</v>
      </c>
      <c r="F126" s="60">
        <v>13.85</v>
      </c>
      <c r="G126" s="60">
        <f t="shared" si="18"/>
        <v>2.8184749999999998</v>
      </c>
      <c r="H126" s="60">
        <f t="shared" si="19"/>
        <v>16.668475000000001</v>
      </c>
      <c r="I126" s="60">
        <f t="shared" si="20"/>
        <v>27000.214205422504</v>
      </c>
    </row>
    <row r="127" spans="1:12" x14ac:dyDescent="0.25">
      <c r="A127" s="1" t="s">
        <v>167</v>
      </c>
      <c r="B127" s="1">
        <v>102197</v>
      </c>
      <c r="C127" s="3" t="s">
        <v>68</v>
      </c>
      <c r="D127" s="1" t="s">
        <v>125</v>
      </c>
      <c r="E127" s="65">
        <f>(13*0.8*2.1)+(0.7*2.1)+(0.9*2.1)</f>
        <v>25.200000000000003</v>
      </c>
      <c r="F127" s="60">
        <v>19.399999999999999</v>
      </c>
      <c r="G127" s="60">
        <f t="shared" si="18"/>
        <v>3.9478999999999993</v>
      </c>
      <c r="H127" s="60">
        <f t="shared" si="19"/>
        <v>23.347899999999999</v>
      </c>
      <c r="I127" s="60">
        <f t="shared" si="20"/>
        <v>588.3670800000001</v>
      </c>
      <c r="L127" s="63"/>
    </row>
    <row r="128" spans="1:12" ht="25.5" x14ac:dyDescent="0.25">
      <c r="A128" s="1" t="s">
        <v>168</v>
      </c>
      <c r="B128" s="1">
        <v>102227</v>
      </c>
      <c r="C128" s="4" t="s">
        <v>69</v>
      </c>
      <c r="D128" s="1" t="s">
        <v>125</v>
      </c>
      <c r="E128" s="65">
        <f>E127</f>
        <v>25.200000000000003</v>
      </c>
      <c r="F128" s="60">
        <v>19.62</v>
      </c>
      <c r="G128" s="60">
        <f t="shared" si="18"/>
        <v>3.9926699999999999</v>
      </c>
      <c r="H128" s="60">
        <f t="shared" si="19"/>
        <v>23.612670000000001</v>
      </c>
      <c r="I128" s="60">
        <f t="shared" si="20"/>
        <v>595.03928400000007</v>
      </c>
    </row>
    <row r="129" spans="1:11" ht="15" customHeight="1" x14ac:dyDescent="0.25">
      <c r="A129" s="1" t="s">
        <v>169</v>
      </c>
      <c r="B129" s="1">
        <v>88484</v>
      </c>
      <c r="C129" s="4" t="s">
        <v>75</v>
      </c>
      <c r="D129" s="1" t="s">
        <v>125</v>
      </c>
      <c r="E129" s="65">
        <f>E65</f>
        <v>39.96</v>
      </c>
      <c r="F129" s="60">
        <v>2.44</v>
      </c>
      <c r="G129" s="60">
        <f t="shared" si="18"/>
        <v>0.49653999999999998</v>
      </c>
      <c r="H129" s="60">
        <f t="shared" si="19"/>
        <v>2.9365399999999999</v>
      </c>
      <c r="I129" s="60">
        <f t="shared" si="20"/>
        <v>117.34413840000001</v>
      </c>
    </row>
    <row r="130" spans="1:11" ht="25.5" x14ac:dyDescent="0.25">
      <c r="A130" s="1" t="s">
        <v>170</v>
      </c>
      <c r="B130" s="1">
        <v>88488</v>
      </c>
      <c r="C130" s="4" t="s">
        <v>74</v>
      </c>
      <c r="D130" s="1" t="s">
        <v>125</v>
      </c>
      <c r="E130" s="65">
        <f>E129</f>
        <v>39.96</v>
      </c>
      <c r="F130" s="60">
        <v>15.49</v>
      </c>
      <c r="G130" s="60">
        <f t="shared" si="18"/>
        <v>3.152215</v>
      </c>
      <c r="H130" s="60">
        <f t="shared" si="19"/>
        <v>18.642215</v>
      </c>
      <c r="I130" s="60">
        <f t="shared" si="20"/>
        <v>744.94291140000007</v>
      </c>
    </row>
    <row r="131" spans="1:11" x14ac:dyDescent="0.25">
      <c r="A131" s="123" t="s">
        <v>55</v>
      </c>
      <c r="B131" s="123"/>
      <c r="C131" s="123"/>
      <c r="D131" s="123"/>
      <c r="E131" s="123"/>
      <c r="F131" s="123"/>
      <c r="G131" s="123"/>
      <c r="H131" s="123"/>
      <c r="I131" s="59">
        <f>SUM(I125:I130)</f>
        <v>33100.813434910502</v>
      </c>
    </row>
    <row r="132" spans="1:11" x14ac:dyDescent="0.25">
      <c r="A132" s="128" t="s">
        <v>0</v>
      </c>
      <c r="B132" s="128" t="s">
        <v>1</v>
      </c>
      <c r="C132" s="125" t="str">
        <f>$C$1</f>
        <v>Descrição Obra/Serviços de Ampliação e Reforma da Escola da Vila 12 de Maio</v>
      </c>
      <c r="D132" s="128" t="s">
        <v>2</v>
      </c>
      <c r="E132" s="129" t="s">
        <v>3</v>
      </c>
      <c r="F132" s="130" t="s">
        <v>4</v>
      </c>
      <c r="G132" s="108" t="s">
        <v>12</v>
      </c>
      <c r="H132" s="131" t="s">
        <v>5</v>
      </c>
      <c r="I132" s="133" t="s">
        <v>6</v>
      </c>
    </row>
    <row r="133" spans="1:11" x14ac:dyDescent="0.25">
      <c r="A133" s="128"/>
      <c r="B133" s="128"/>
      <c r="C133" s="125"/>
      <c r="D133" s="128"/>
      <c r="E133" s="129"/>
      <c r="F133" s="130"/>
      <c r="G133" s="2">
        <f>$G$2</f>
        <v>0.20349999999999999</v>
      </c>
      <c r="H133" s="132"/>
      <c r="I133" s="134"/>
    </row>
    <row r="134" spans="1:11" x14ac:dyDescent="0.25">
      <c r="A134" s="103">
        <v>13</v>
      </c>
      <c r="B134" s="103" t="s">
        <v>7</v>
      </c>
      <c r="C134" s="104" t="s">
        <v>305</v>
      </c>
      <c r="D134" s="105"/>
      <c r="E134" s="105"/>
      <c r="F134" s="105"/>
      <c r="G134" s="105"/>
      <c r="H134" s="105"/>
      <c r="I134" s="106"/>
    </row>
    <row r="135" spans="1:11" x14ac:dyDescent="0.25">
      <c r="A135" s="1" t="s">
        <v>171</v>
      </c>
      <c r="B135" s="1">
        <v>99803</v>
      </c>
      <c r="C135" s="3" t="s">
        <v>128</v>
      </c>
      <c r="D135" s="1" t="s">
        <v>125</v>
      </c>
      <c r="E135" s="65">
        <f>E82</f>
        <v>223.42</v>
      </c>
      <c r="F135" s="60">
        <v>1.72</v>
      </c>
      <c r="G135" s="60">
        <f t="shared" ref="G135:G140" si="21">(F135*$G$2)</f>
        <v>0.35002</v>
      </c>
      <c r="H135" s="60">
        <f t="shared" ref="H135:H140" si="22">(F135+G135)</f>
        <v>2.07002</v>
      </c>
      <c r="I135" s="60">
        <f t="shared" ref="I135:I140" si="23">(H135*E135)</f>
        <v>462.48386839999995</v>
      </c>
    </row>
    <row r="136" spans="1:11" ht="25.5" x14ac:dyDescent="0.25">
      <c r="A136" s="1" t="s">
        <v>172</v>
      </c>
      <c r="B136" s="1">
        <v>99808</v>
      </c>
      <c r="C136" s="4" t="s">
        <v>129</v>
      </c>
      <c r="D136" s="1" t="s">
        <v>125</v>
      </c>
      <c r="E136" s="65">
        <f>E69</f>
        <v>95.524000000000001</v>
      </c>
      <c r="F136" s="60">
        <v>3.06</v>
      </c>
      <c r="G136" s="60">
        <f t="shared" si="21"/>
        <v>0.62270999999999999</v>
      </c>
      <c r="H136" s="60">
        <f t="shared" si="22"/>
        <v>3.6827100000000002</v>
      </c>
      <c r="I136" s="60">
        <f t="shared" si="23"/>
        <v>351.78719004000004</v>
      </c>
    </row>
    <row r="137" spans="1:11" ht="25.5" x14ac:dyDescent="0.25">
      <c r="A137" s="1" t="s">
        <v>264</v>
      </c>
      <c r="B137" s="1">
        <v>99861</v>
      </c>
      <c r="C137" s="4" t="s">
        <v>307</v>
      </c>
      <c r="D137" s="1" t="s">
        <v>125</v>
      </c>
      <c r="E137" s="72">
        <f>2*1.8</f>
        <v>3.6</v>
      </c>
      <c r="F137" s="60">
        <v>564.91</v>
      </c>
      <c r="G137" s="60">
        <f t="shared" si="21"/>
        <v>114.95918499999999</v>
      </c>
      <c r="H137" s="60">
        <f t="shared" si="22"/>
        <v>679.86918500000002</v>
      </c>
      <c r="I137" s="60">
        <f t="shared" si="23"/>
        <v>2447.5290660000001</v>
      </c>
      <c r="J137" s="62"/>
      <c r="K137" s="66"/>
    </row>
    <row r="138" spans="1:11" x14ac:dyDescent="0.25">
      <c r="A138" s="1" t="s">
        <v>309</v>
      </c>
      <c r="B138" s="1">
        <v>100717</v>
      </c>
      <c r="C138" s="4" t="s">
        <v>311</v>
      </c>
      <c r="D138" s="1" t="s">
        <v>125</v>
      </c>
      <c r="E138" s="110">
        <f>E137</f>
        <v>3.6</v>
      </c>
      <c r="F138" s="60">
        <v>7.71</v>
      </c>
      <c r="G138" s="60">
        <f t="shared" si="21"/>
        <v>1.5689849999999999</v>
      </c>
      <c r="H138" s="60">
        <f t="shared" si="22"/>
        <v>9.2789850000000005</v>
      </c>
      <c r="I138" s="60">
        <f t="shared" si="23"/>
        <v>33.404346000000004</v>
      </c>
      <c r="J138" s="62"/>
      <c r="K138" s="66"/>
    </row>
    <row r="139" spans="1:11" ht="38.25" x14ac:dyDescent="0.25">
      <c r="A139" s="1" t="s">
        <v>310</v>
      </c>
      <c r="B139" s="71">
        <v>100722</v>
      </c>
      <c r="C139" s="70" t="s">
        <v>308</v>
      </c>
      <c r="D139" s="111" t="s">
        <v>125</v>
      </c>
      <c r="E139" s="112">
        <f>E137</f>
        <v>3.6</v>
      </c>
      <c r="F139" s="60">
        <v>18.73</v>
      </c>
      <c r="G139" s="60">
        <f t="shared" si="21"/>
        <v>3.8115549999999998</v>
      </c>
      <c r="H139" s="60">
        <f t="shared" si="22"/>
        <v>22.541554999999999</v>
      </c>
      <c r="I139" s="60">
        <f t="shared" si="23"/>
        <v>81.149597999999997</v>
      </c>
      <c r="J139" s="62"/>
    </row>
    <row r="140" spans="1:11" ht="38.25" x14ac:dyDescent="0.25">
      <c r="A140" s="1" t="s">
        <v>312</v>
      </c>
      <c r="B140" s="113">
        <v>100760</v>
      </c>
      <c r="C140" s="114" t="s">
        <v>313</v>
      </c>
      <c r="D140" s="111" t="s">
        <v>125</v>
      </c>
      <c r="E140" s="112">
        <f>E137</f>
        <v>3.6</v>
      </c>
      <c r="F140" s="60">
        <v>38.06</v>
      </c>
      <c r="G140" s="60">
        <f t="shared" si="21"/>
        <v>7.7452100000000002</v>
      </c>
      <c r="H140" s="60">
        <f t="shared" si="22"/>
        <v>45.805210000000002</v>
      </c>
      <c r="I140" s="60">
        <f t="shared" si="23"/>
        <v>164.89875600000002</v>
      </c>
      <c r="J140" s="62"/>
    </row>
    <row r="141" spans="1:11" x14ac:dyDescent="0.25">
      <c r="A141" s="135" t="s">
        <v>16</v>
      </c>
      <c r="B141" s="136"/>
      <c r="C141" s="136"/>
      <c r="D141" s="136"/>
      <c r="E141" s="136"/>
      <c r="F141" s="136"/>
      <c r="G141" s="136"/>
      <c r="H141" s="136"/>
      <c r="I141" s="115">
        <f>SUM(I135:I140)</f>
        <v>3541.25282444</v>
      </c>
      <c r="J141" s="66"/>
    </row>
    <row r="142" spans="1:11" x14ac:dyDescent="0.25">
      <c r="A142" s="103">
        <v>14</v>
      </c>
      <c r="B142" s="103"/>
      <c r="C142" s="104" t="s">
        <v>17</v>
      </c>
      <c r="D142" s="105"/>
      <c r="E142" s="105"/>
      <c r="F142" s="105"/>
      <c r="G142" s="105"/>
      <c r="H142" s="105"/>
      <c r="I142" s="106"/>
      <c r="K142" s="66"/>
    </row>
    <row r="143" spans="1:11" x14ac:dyDescent="0.25">
      <c r="A143" s="123" t="s">
        <v>18</v>
      </c>
      <c r="B143" s="123"/>
      <c r="C143" s="123"/>
      <c r="D143" s="123"/>
      <c r="E143" s="123"/>
      <c r="F143" s="123"/>
      <c r="G143" s="123"/>
      <c r="H143" s="123"/>
      <c r="I143" s="59">
        <f>I6+I18+I29+I39+I59+I67+I70+I79+I84+I99+I123+I131+I141</f>
        <v>554188.41534933157</v>
      </c>
      <c r="J143" s="66"/>
      <c r="K143" s="66"/>
    </row>
    <row r="144" spans="1:11" x14ac:dyDescent="0.25">
      <c r="K144" s="62"/>
    </row>
    <row r="145" spans="1:11" x14ac:dyDescent="0.25">
      <c r="E145" s="8"/>
    </row>
    <row r="151" spans="1:11" x14ac:dyDescent="0.25">
      <c r="K151" s="7"/>
    </row>
    <row r="152" spans="1:11" x14ac:dyDescent="0.25">
      <c r="D152" s="38"/>
    </row>
    <row r="153" spans="1:11" x14ac:dyDescent="0.25">
      <c r="D153" s="38"/>
    </row>
    <row r="154" spans="1:11" x14ac:dyDescent="0.25">
      <c r="D154" s="38"/>
    </row>
    <row r="155" spans="1:11" x14ac:dyDescent="0.25">
      <c r="C155" s="62"/>
    </row>
    <row r="158" spans="1:11" s="7" customFormat="1" x14ac:dyDescent="0.25">
      <c r="A158" s="5"/>
      <c r="B158" s="5"/>
      <c r="C158" s="62"/>
      <c r="E158" s="12"/>
      <c r="F158" s="9"/>
      <c r="G158" s="10"/>
      <c r="H158" s="10"/>
      <c r="I158" s="11"/>
      <c r="K158" s="5"/>
    </row>
  </sheetData>
  <mergeCells count="78">
    <mergeCell ref="I112:I113"/>
    <mergeCell ref="A143:H143"/>
    <mergeCell ref="A132:A133"/>
    <mergeCell ref="B132:B133"/>
    <mergeCell ref="C132:C133"/>
    <mergeCell ref="D132:D133"/>
    <mergeCell ref="E132:E133"/>
    <mergeCell ref="F132:F133"/>
    <mergeCell ref="H132:H133"/>
    <mergeCell ref="I132:I133"/>
    <mergeCell ref="A123:H123"/>
    <mergeCell ref="A131:H131"/>
    <mergeCell ref="A141:H141"/>
    <mergeCell ref="A99:H99"/>
    <mergeCell ref="A112:A113"/>
    <mergeCell ref="B112:B113"/>
    <mergeCell ref="C112:C113"/>
    <mergeCell ref="D112:D113"/>
    <mergeCell ref="E112:E113"/>
    <mergeCell ref="F112:F113"/>
    <mergeCell ref="H112:H113"/>
    <mergeCell ref="I77:I78"/>
    <mergeCell ref="A79:H79"/>
    <mergeCell ref="A84:H84"/>
    <mergeCell ref="A96:A97"/>
    <mergeCell ref="B96:B97"/>
    <mergeCell ref="C96:C97"/>
    <mergeCell ref="D96:D97"/>
    <mergeCell ref="E96:E97"/>
    <mergeCell ref="F96:F97"/>
    <mergeCell ref="H96:H97"/>
    <mergeCell ref="I96:I97"/>
    <mergeCell ref="A70:H70"/>
    <mergeCell ref="A77:A78"/>
    <mergeCell ref="B77:B78"/>
    <mergeCell ref="C77:C78"/>
    <mergeCell ref="D77:D78"/>
    <mergeCell ref="E77:E78"/>
    <mergeCell ref="F77:F78"/>
    <mergeCell ref="H77:H78"/>
    <mergeCell ref="F62:F63"/>
    <mergeCell ref="H62:H63"/>
    <mergeCell ref="I62:I63"/>
    <mergeCell ref="A59:H59"/>
    <mergeCell ref="A67:H67"/>
    <mergeCell ref="A62:A63"/>
    <mergeCell ref="B62:B63"/>
    <mergeCell ref="C62:C63"/>
    <mergeCell ref="D62:D63"/>
    <mergeCell ref="E62:E63"/>
    <mergeCell ref="H24:H25"/>
    <mergeCell ref="I24:I25"/>
    <mergeCell ref="A29:H29"/>
    <mergeCell ref="A39:H39"/>
    <mergeCell ref="A43:A44"/>
    <mergeCell ref="B43:B44"/>
    <mergeCell ref="C43:C44"/>
    <mergeCell ref="D43:D44"/>
    <mergeCell ref="E43:E44"/>
    <mergeCell ref="F43:F44"/>
    <mergeCell ref="H43:H44"/>
    <mergeCell ref="I43:I44"/>
    <mergeCell ref="H1:H2"/>
    <mergeCell ref="I1:I2"/>
    <mergeCell ref="A6:H6"/>
    <mergeCell ref="A18:H18"/>
    <mergeCell ref="A24:A25"/>
    <mergeCell ref="B24:B25"/>
    <mergeCell ref="C24:C25"/>
    <mergeCell ref="D24:D25"/>
    <mergeCell ref="E24:E25"/>
    <mergeCell ref="F24:F25"/>
    <mergeCell ref="A1:A2"/>
    <mergeCell ref="B1:B2"/>
    <mergeCell ref="C1:C2"/>
    <mergeCell ref="D1:D2"/>
    <mergeCell ref="E1:E2"/>
    <mergeCell ref="F1:F2"/>
  </mergeCells>
  <pageMargins left="0.27559055118110237" right="0" top="0.78740157480314965" bottom="0.78740157480314965" header="0.31496062992125984" footer="0.31496062992125984"/>
  <pageSetup paperSize="9" scale="99" fitToHeight="0" orientation="landscape" horizontalDpi="4294967293" verticalDpi="360" r:id="rId1"/>
  <headerFooter>
    <oddHeader>&amp;C&amp;12&amp;K00-037PREFEITURA MUNICIPAL DE TAVARES/RS - ADM. 2021-2024&amp;9
&amp;10ORÇAMENTO AMPLIAÇÃO E REFORMA DA ESCOLA DA VILA 12 DE MAIO</oddHeader>
    <oddFooter>&amp;C&amp;K00-036Tavares, 31 de agosto de 2021.</oddFooter>
  </headerFooter>
  <rowBreaks count="3" manualBreakCount="3">
    <brk id="61" max="8" man="1"/>
    <brk id="95" max="8" man="1"/>
    <brk id="111" max="8" man="1"/>
  </rowBreaks>
  <ignoredErrors>
    <ignoredError sqref="E65 E127 E129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view="pageLayout" zoomScaleNormal="100" zoomScaleSheetLayoutView="100" workbookViewId="0">
      <selection activeCell="A2" sqref="A2"/>
    </sheetView>
  </sheetViews>
  <sheetFormatPr defaultRowHeight="12.75" x14ac:dyDescent="0.25"/>
  <cols>
    <col min="1" max="1" width="12.42578125" style="74" bestFit="1" customWidth="1"/>
    <col min="2" max="2" width="39.140625" style="74" customWidth="1"/>
    <col min="3" max="3" width="13" style="74" customWidth="1"/>
    <col min="4" max="4" width="10.7109375" style="74" customWidth="1"/>
    <col min="5" max="8" width="10.28515625" style="74" customWidth="1"/>
    <col min="9" max="9" width="10.42578125" style="74" customWidth="1"/>
    <col min="10" max="10" width="10" style="74" bestFit="1" customWidth="1"/>
    <col min="11" max="16384" width="9.140625" style="74"/>
  </cols>
  <sheetData>
    <row r="1" spans="1:10" ht="6" customHeight="1" x14ac:dyDescent="0.25">
      <c r="A1" s="75"/>
      <c r="B1" s="75"/>
      <c r="C1" s="76"/>
      <c r="D1" s="76"/>
      <c r="G1" s="76"/>
    </row>
    <row r="2" spans="1:10" s="83" customFormat="1" ht="25.5" customHeight="1" x14ac:dyDescent="0.25">
      <c r="A2" s="77" t="s">
        <v>0</v>
      </c>
      <c r="B2" s="78" t="s">
        <v>288</v>
      </c>
      <c r="C2" s="79" t="s">
        <v>289</v>
      </c>
      <c r="D2" s="107" t="s">
        <v>290</v>
      </c>
      <c r="E2" s="80" t="s">
        <v>300</v>
      </c>
      <c r="F2" s="81" t="s">
        <v>301</v>
      </c>
      <c r="G2" s="81" t="s">
        <v>302</v>
      </c>
      <c r="H2" s="81" t="s">
        <v>303</v>
      </c>
      <c r="I2" s="82" t="s">
        <v>304</v>
      </c>
    </row>
    <row r="3" spans="1:10" ht="12.75" customHeight="1" x14ac:dyDescent="0.2">
      <c r="A3" s="137">
        <f>Orçamento!A3</f>
        <v>1</v>
      </c>
      <c r="B3" s="138" t="str">
        <f>Orçamento!C3</f>
        <v>SERVIÇOS INICIAIS</v>
      </c>
      <c r="C3" s="139">
        <f>Orçamento!I6</f>
        <v>6336.6994909999994</v>
      </c>
      <c r="D3" s="140">
        <f>C3/$A$30</f>
        <v>1.1434196954488255E-2</v>
      </c>
      <c r="E3" s="101">
        <v>1</v>
      </c>
      <c r="F3" s="101"/>
      <c r="G3" s="101"/>
      <c r="H3" s="101"/>
      <c r="I3" s="84"/>
    </row>
    <row r="4" spans="1:10" x14ac:dyDescent="0.2">
      <c r="A4" s="137"/>
      <c r="B4" s="138"/>
      <c r="C4" s="139"/>
      <c r="D4" s="140"/>
      <c r="E4" s="102">
        <f>$C$3*E3</f>
        <v>6336.6994909999994</v>
      </c>
      <c r="F4" s="102">
        <f t="shared" ref="F4:H4" si="0">$C$3*F3</f>
        <v>0</v>
      </c>
      <c r="G4" s="102">
        <f t="shared" si="0"/>
        <v>0</v>
      </c>
      <c r="H4" s="102">
        <f t="shared" si="0"/>
        <v>0</v>
      </c>
      <c r="I4" s="84"/>
    </row>
    <row r="5" spans="1:10" ht="12.75" customHeight="1" x14ac:dyDescent="0.2">
      <c r="A5" s="141">
        <f>Orçamento!A7</f>
        <v>2</v>
      </c>
      <c r="B5" s="142" t="str">
        <f>Orçamento!C7</f>
        <v>FUNDAÇÕES</v>
      </c>
      <c r="C5" s="143">
        <f>Orçamento!I18</f>
        <v>37640.41892145</v>
      </c>
      <c r="D5" s="140">
        <f t="shared" ref="D5" si="1">C5/$A$30</f>
        <v>6.7919894893009328E-2</v>
      </c>
      <c r="E5" s="101">
        <v>1</v>
      </c>
      <c r="F5" s="101"/>
      <c r="G5" s="101"/>
      <c r="H5" s="101"/>
      <c r="I5" s="84"/>
    </row>
    <row r="6" spans="1:10" x14ac:dyDescent="0.2">
      <c r="A6" s="137"/>
      <c r="B6" s="138"/>
      <c r="C6" s="139"/>
      <c r="D6" s="140"/>
      <c r="E6" s="102">
        <f>$C$5*E5</f>
        <v>37640.41892145</v>
      </c>
      <c r="F6" s="102">
        <f t="shared" ref="F6:H6" si="2">$C$5*F5</f>
        <v>0</v>
      </c>
      <c r="G6" s="102">
        <f t="shared" si="2"/>
        <v>0</v>
      </c>
      <c r="H6" s="102">
        <f t="shared" si="2"/>
        <v>0</v>
      </c>
      <c r="I6" s="84"/>
      <c r="J6" s="85"/>
    </row>
    <row r="7" spans="1:10" ht="12.75" customHeight="1" x14ac:dyDescent="0.2">
      <c r="A7" s="141">
        <f>Orçamento!A19</f>
        <v>3</v>
      </c>
      <c r="B7" s="142" t="str">
        <f>Orçamento!C19</f>
        <v>PAREDES</v>
      </c>
      <c r="C7" s="143">
        <f>Orçamento!I29</f>
        <v>58706.578967970985</v>
      </c>
      <c r="D7" s="140">
        <f t="shared" ref="D7" si="3">C7/$A$30</f>
        <v>0.10593252645125288</v>
      </c>
      <c r="E7" s="101"/>
      <c r="F7" s="101">
        <v>1</v>
      </c>
      <c r="G7" s="101"/>
      <c r="H7" s="101"/>
      <c r="I7" s="84"/>
      <c r="J7" s="85"/>
    </row>
    <row r="8" spans="1:10" x14ac:dyDescent="0.2">
      <c r="A8" s="137"/>
      <c r="B8" s="138"/>
      <c r="C8" s="139"/>
      <c r="D8" s="140"/>
      <c r="E8" s="102">
        <f>$C$7*E7</f>
        <v>0</v>
      </c>
      <c r="F8" s="102">
        <f t="shared" ref="F8:H8" si="4">$C$7*F7</f>
        <v>58706.578967970985</v>
      </c>
      <c r="G8" s="102">
        <f t="shared" si="4"/>
        <v>0</v>
      </c>
      <c r="H8" s="102">
        <f t="shared" si="4"/>
        <v>0</v>
      </c>
      <c r="I8" s="84"/>
      <c r="J8" s="85"/>
    </row>
    <row r="9" spans="1:10" ht="12.75" customHeight="1" x14ac:dyDescent="0.2">
      <c r="A9" s="141">
        <f>Orçamento!A30</f>
        <v>4</v>
      </c>
      <c r="B9" s="142" t="str">
        <f>Orçamento!C30</f>
        <v>ESTRUTURAS DE CONCRETO ARMADO</v>
      </c>
      <c r="C9" s="143">
        <f>Orçamento!I39</f>
        <v>50424.702496299993</v>
      </c>
      <c r="D9" s="140">
        <f t="shared" ref="D9" si="5">C9/$A$30</f>
        <v>9.0988373447891152E-2</v>
      </c>
      <c r="E9" s="101"/>
      <c r="F9" s="101">
        <v>1</v>
      </c>
      <c r="G9" s="101"/>
      <c r="H9" s="101"/>
      <c r="I9" s="84"/>
      <c r="J9" s="85"/>
    </row>
    <row r="10" spans="1:10" x14ac:dyDescent="0.2">
      <c r="A10" s="137"/>
      <c r="B10" s="138"/>
      <c r="C10" s="139"/>
      <c r="D10" s="140"/>
      <c r="E10" s="102">
        <f>$C$9*E9</f>
        <v>0</v>
      </c>
      <c r="F10" s="102">
        <f t="shared" ref="F10:H10" si="6">$C$9*F9</f>
        <v>50424.702496299993</v>
      </c>
      <c r="G10" s="102">
        <f t="shared" si="6"/>
        <v>0</v>
      </c>
      <c r="H10" s="102">
        <f t="shared" si="6"/>
        <v>0</v>
      </c>
      <c r="I10" s="84"/>
      <c r="J10" s="85"/>
    </row>
    <row r="11" spans="1:10" ht="12.75" customHeight="1" x14ac:dyDescent="0.2">
      <c r="A11" s="141">
        <f>Orçamento!A40</f>
        <v>5</v>
      </c>
      <c r="B11" s="142" t="str">
        <f>Orçamento!C40</f>
        <v>COBERTURA</v>
      </c>
      <c r="C11" s="143">
        <f>Orçamento!I59</f>
        <v>187691.84069475002</v>
      </c>
      <c r="D11" s="140">
        <f t="shared" ref="D11" si="7">C11/$A$30</f>
        <v>0.33867875165964784</v>
      </c>
      <c r="E11" s="101"/>
      <c r="F11" s="101">
        <v>0.25</v>
      </c>
      <c r="G11" s="101">
        <v>0.75</v>
      </c>
      <c r="H11" s="101"/>
      <c r="I11" s="84"/>
      <c r="J11" s="85"/>
    </row>
    <row r="12" spans="1:10" x14ac:dyDescent="0.2">
      <c r="A12" s="137"/>
      <c r="B12" s="138"/>
      <c r="C12" s="139"/>
      <c r="D12" s="140"/>
      <c r="E12" s="102">
        <f>$C$11*E11</f>
        <v>0</v>
      </c>
      <c r="F12" s="102">
        <f t="shared" ref="F12:H12" si="8">$C$11*F11</f>
        <v>46922.960173687505</v>
      </c>
      <c r="G12" s="102">
        <f t="shared" si="8"/>
        <v>140768.88052106253</v>
      </c>
      <c r="H12" s="102">
        <f t="shared" si="8"/>
        <v>0</v>
      </c>
      <c r="I12" s="84"/>
      <c r="J12" s="85"/>
    </row>
    <row r="13" spans="1:10" ht="12.75" customHeight="1" x14ac:dyDescent="0.2">
      <c r="A13" s="141">
        <f>Orçamento!A60</f>
        <v>6</v>
      </c>
      <c r="B13" s="142" t="str">
        <f>Orçamento!C60</f>
        <v>REVESTIMENTOS (chapisco e reboco)</v>
      </c>
      <c r="C13" s="143">
        <f>Orçamento!I67</f>
        <v>56935.99710209998</v>
      </c>
      <c r="D13" s="140">
        <f t="shared" ref="D13" si="9">C13/$A$30</f>
        <v>0.10273761689192021</v>
      </c>
      <c r="E13" s="101"/>
      <c r="F13" s="101"/>
      <c r="G13" s="101">
        <v>0.3</v>
      </c>
      <c r="H13" s="101">
        <v>0.7</v>
      </c>
      <c r="I13" s="84"/>
      <c r="J13" s="85"/>
    </row>
    <row r="14" spans="1:10" x14ac:dyDescent="0.2">
      <c r="A14" s="137"/>
      <c r="B14" s="138"/>
      <c r="C14" s="139"/>
      <c r="D14" s="140"/>
      <c r="E14" s="102">
        <f>$C$13*E13</f>
        <v>0</v>
      </c>
      <c r="F14" s="102">
        <f t="shared" ref="F14:H14" si="10">$C$13*F13</f>
        <v>0</v>
      </c>
      <c r="G14" s="102">
        <f t="shared" si="10"/>
        <v>17080.799130629992</v>
      </c>
      <c r="H14" s="102">
        <f t="shared" si="10"/>
        <v>39855.197971469985</v>
      </c>
      <c r="I14" s="84"/>
      <c r="J14" s="85"/>
    </row>
    <row r="15" spans="1:10" ht="12.75" customHeight="1" x14ac:dyDescent="0.2">
      <c r="A15" s="141">
        <f>Orçamento!A68</f>
        <v>7</v>
      </c>
      <c r="B15" s="142" t="str">
        <f>Orçamento!C68</f>
        <v>REVESTIMENTOS (azulejo)</v>
      </c>
      <c r="C15" s="143">
        <f>Orçamento!I70</f>
        <v>5833.2294191600004</v>
      </c>
      <c r="D15" s="140">
        <f t="shared" ref="D15" si="11">C15/$A$30</f>
        <v>1.0525715185661245E-2</v>
      </c>
      <c r="E15" s="101"/>
      <c r="F15" s="101"/>
      <c r="G15" s="101"/>
      <c r="H15" s="101">
        <v>1</v>
      </c>
      <c r="I15" s="84"/>
      <c r="J15" s="85"/>
    </row>
    <row r="16" spans="1:10" x14ac:dyDescent="0.2">
      <c r="A16" s="137"/>
      <c r="B16" s="138"/>
      <c r="C16" s="139"/>
      <c r="D16" s="140"/>
      <c r="E16" s="102">
        <f>$C$15*E15</f>
        <v>0</v>
      </c>
      <c r="F16" s="102">
        <f t="shared" ref="F16:H16" si="12">$C$15*F15</f>
        <v>0</v>
      </c>
      <c r="G16" s="102">
        <f t="shared" si="12"/>
        <v>0</v>
      </c>
      <c r="H16" s="102">
        <f t="shared" si="12"/>
        <v>5833.2294191600004</v>
      </c>
      <c r="I16" s="84"/>
      <c r="J16" s="85"/>
    </row>
    <row r="17" spans="1:10" ht="12.75" customHeight="1" x14ac:dyDescent="0.2">
      <c r="A17" s="141">
        <f>Orçamento!A71</f>
        <v>8</v>
      </c>
      <c r="B17" s="142" t="str">
        <f>Orçamento!C71</f>
        <v>ESQUADRIAS</v>
      </c>
      <c r="C17" s="143">
        <f>Orçamento!I79</f>
        <v>25930.846885999999</v>
      </c>
      <c r="D17" s="140">
        <f t="shared" ref="D17" si="13">C17/$A$30</f>
        <v>4.6790669324357027E-2</v>
      </c>
      <c r="E17" s="101"/>
      <c r="F17" s="101"/>
      <c r="G17" s="101">
        <v>0.2</v>
      </c>
      <c r="H17" s="101">
        <v>0.8</v>
      </c>
      <c r="I17" s="84"/>
      <c r="J17" s="85"/>
    </row>
    <row r="18" spans="1:10" x14ac:dyDescent="0.2">
      <c r="A18" s="137"/>
      <c r="B18" s="138"/>
      <c r="C18" s="139"/>
      <c r="D18" s="140"/>
      <c r="E18" s="102">
        <f>$C$17*E17</f>
        <v>0</v>
      </c>
      <c r="F18" s="102">
        <f t="shared" ref="F18:H18" si="14">$C$17*F17</f>
        <v>0</v>
      </c>
      <c r="G18" s="102">
        <f t="shared" si="14"/>
        <v>5186.1693771999999</v>
      </c>
      <c r="H18" s="102">
        <f t="shared" si="14"/>
        <v>20744.677508799999</v>
      </c>
      <c r="I18" s="84"/>
      <c r="J18" s="85"/>
    </row>
    <row r="19" spans="1:10" ht="12.75" customHeight="1" x14ac:dyDescent="0.2">
      <c r="A19" s="141">
        <f>Orçamento!A80</f>
        <v>9</v>
      </c>
      <c r="B19" s="142" t="str">
        <f>Orçamento!C80</f>
        <v>CONTRAPISO E PISO</v>
      </c>
      <c r="C19" s="143">
        <f>Orçamento!I84</f>
        <v>38394.87237125</v>
      </c>
      <c r="D19" s="140">
        <f t="shared" ref="D19" si="15">C19/$A$30</f>
        <v>6.9281261224213547E-2</v>
      </c>
      <c r="E19" s="101"/>
      <c r="F19" s="101"/>
      <c r="G19" s="101"/>
      <c r="H19" s="101">
        <v>1</v>
      </c>
      <c r="I19" s="84"/>
      <c r="J19" s="85"/>
    </row>
    <row r="20" spans="1:10" x14ac:dyDescent="0.2">
      <c r="A20" s="137"/>
      <c r="B20" s="138"/>
      <c r="C20" s="139"/>
      <c r="D20" s="140"/>
      <c r="E20" s="102">
        <f>$C$19*E19</f>
        <v>0</v>
      </c>
      <c r="F20" s="102">
        <f t="shared" ref="F20:H20" si="16">$C$19*F19</f>
        <v>0</v>
      </c>
      <c r="G20" s="102">
        <f t="shared" si="16"/>
        <v>0</v>
      </c>
      <c r="H20" s="102">
        <f t="shared" si="16"/>
        <v>38394.87237125</v>
      </c>
      <c r="I20" s="84"/>
      <c r="J20" s="85"/>
    </row>
    <row r="21" spans="1:10" ht="12.75" customHeight="1" x14ac:dyDescent="0.2">
      <c r="A21" s="141">
        <f>Orçamento!A85</f>
        <v>10</v>
      </c>
      <c r="B21" s="142" t="str">
        <f>Orçamento!C85</f>
        <v>INSTALAÇÕES ELÉTRICAS</v>
      </c>
      <c r="C21" s="143">
        <f>Orçamento!I99</f>
        <v>14011.423804999999</v>
      </c>
      <c r="D21" s="140">
        <f t="shared" ref="D21" si="17">C21/$A$30</f>
        <v>2.5282780038207629E-2</v>
      </c>
      <c r="E21" s="101"/>
      <c r="F21" s="101"/>
      <c r="G21" s="101"/>
      <c r="H21" s="101">
        <v>1</v>
      </c>
      <c r="I21" s="84"/>
      <c r="J21" s="85"/>
    </row>
    <row r="22" spans="1:10" ht="12.75" customHeight="1" x14ac:dyDescent="0.2">
      <c r="A22" s="137"/>
      <c r="B22" s="138"/>
      <c r="C22" s="139"/>
      <c r="D22" s="140"/>
      <c r="E22" s="102">
        <f>$C$21*E21</f>
        <v>0</v>
      </c>
      <c r="F22" s="102">
        <f t="shared" ref="F22:H22" si="18">$C$21*F21</f>
        <v>0</v>
      </c>
      <c r="G22" s="102">
        <f t="shared" si="18"/>
        <v>0</v>
      </c>
      <c r="H22" s="102">
        <f t="shared" si="18"/>
        <v>14011.423804999999</v>
      </c>
      <c r="I22" s="84"/>
      <c r="J22" s="85"/>
    </row>
    <row r="23" spans="1:10" ht="12.75" customHeight="1" x14ac:dyDescent="0.2">
      <c r="A23" s="141">
        <f>Orçamento!A100</f>
        <v>11</v>
      </c>
      <c r="B23" s="142" t="str">
        <f>Orçamento!C100</f>
        <v>INSTALAÇÕES HIDROSSANITÁRIAS</v>
      </c>
      <c r="C23" s="143">
        <f>Orçamento!I123</f>
        <v>35639.738935000008</v>
      </c>
      <c r="D23" s="140">
        <f t="shared" ref="D23" si="19">C23/$A$30</f>
        <v>6.430978697476844E-2</v>
      </c>
      <c r="E23" s="101"/>
      <c r="F23" s="101"/>
      <c r="G23" s="101"/>
      <c r="H23" s="101">
        <v>1</v>
      </c>
      <c r="I23" s="84"/>
      <c r="J23" s="85"/>
    </row>
    <row r="24" spans="1:10" ht="12.75" customHeight="1" x14ac:dyDescent="0.2">
      <c r="A24" s="137"/>
      <c r="B24" s="138"/>
      <c r="C24" s="139"/>
      <c r="D24" s="140"/>
      <c r="E24" s="102">
        <f>$C$23*E23</f>
        <v>0</v>
      </c>
      <c r="F24" s="102">
        <f t="shared" ref="F24:H24" si="20">$C$23*F23</f>
        <v>0</v>
      </c>
      <c r="G24" s="102">
        <f t="shared" si="20"/>
        <v>0</v>
      </c>
      <c r="H24" s="102">
        <f t="shared" si="20"/>
        <v>35639.738935000008</v>
      </c>
      <c r="I24" s="84"/>
      <c r="J24" s="85"/>
    </row>
    <row r="25" spans="1:10" ht="12.75" customHeight="1" x14ac:dyDescent="0.2">
      <c r="A25" s="141">
        <f>Orçamento!A124</f>
        <v>12</v>
      </c>
      <c r="B25" s="142" t="str">
        <f>Orçamento!C124</f>
        <v>PINTURAS</v>
      </c>
      <c r="C25" s="143">
        <f>Orçamento!I131</f>
        <v>33100.813434910502</v>
      </c>
      <c r="D25" s="140">
        <f t="shared" ref="D25" si="21">C25/$A$30</f>
        <v>5.9728447073447884E-2</v>
      </c>
      <c r="E25" s="101"/>
      <c r="F25" s="101"/>
      <c r="G25" s="101"/>
      <c r="H25" s="101">
        <v>1</v>
      </c>
      <c r="I25" s="84"/>
      <c r="J25" s="85"/>
    </row>
    <row r="26" spans="1:10" ht="12.75" customHeight="1" x14ac:dyDescent="0.2">
      <c r="A26" s="137"/>
      <c r="B26" s="138"/>
      <c r="C26" s="139"/>
      <c r="D26" s="140"/>
      <c r="E26" s="102">
        <f>$C$25*E25</f>
        <v>0</v>
      </c>
      <c r="F26" s="102">
        <f t="shared" ref="F26:H26" si="22">$C$25*F25</f>
        <v>0</v>
      </c>
      <c r="G26" s="102">
        <f t="shared" si="22"/>
        <v>0</v>
      </c>
      <c r="H26" s="102">
        <f t="shared" si="22"/>
        <v>33100.813434910502</v>
      </c>
      <c r="I26" s="84"/>
      <c r="J26" s="85"/>
    </row>
    <row r="27" spans="1:10" ht="12.75" customHeight="1" x14ac:dyDescent="0.2">
      <c r="A27" s="141">
        <f>Orçamento!A134</f>
        <v>13</v>
      </c>
      <c r="B27" s="142" t="str">
        <f>Orçamento!C134</f>
        <v>SERVIÇOS COMPLEMENTARES (limpeza/arremates/portão de entrada lateral)</v>
      </c>
      <c r="C27" s="143">
        <f>Orçamento!I141</f>
        <v>3541.25282444</v>
      </c>
      <c r="D27" s="140">
        <f t="shared" ref="D27" si="23">C27/$A$30</f>
        <v>6.3899798811344307E-3</v>
      </c>
      <c r="E27" s="101"/>
      <c r="F27" s="101"/>
      <c r="G27" s="101"/>
      <c r="H27" s="101">
        <v>1</v>
      </c>
      <c r="I27" s="84"/>
      <c r="J27" s="85"/>
    </row>
    <row r="28" spans="1:10" x14ac:dyDescent="0.2">
      <c r="A28" s="144"/>
      <c r="B28" s="145"/>
      <c r="C28" s="146"/>
      <c r="D28" s="140"/>
      <c r="E28" s="102">
        <f>$C$27*E27</f>
        <v>0</v>
      </c>
      <c r="F28" s="102">
        <f t="shared" ref="F28:H28" si="24">$C$27*F27</f>
        <v>0</v>
      </c>
      <c r="G28" s="102">
        <f t="shared" si="24"/>
        <v>0</v>
      </c>
      <c r="H28" s="102">
        <f t="shared" si="24"/>
        <v>3541.25282444</v>
      </c>
      <c r="I28" s="84"/>
      <c r="J28" s="85"/>
    </row>
    <row r="29" spans="1:10" ht="12.75" customHeight="1" x14ac:dyDescent="0.2">
      <c r="A29" s="86" t="s">
        <v>291</v>
      </c>
      <c r="B29" s="147" t="s">
        <v>292</v>
      </c>
      <c r="C29" s="149" t="s">
        <v>293</v>
      </c>
      <c r="D29" s="150"/>
      <c r="E29" s="87">
        <f>E33/$A$30</f>
        <v>7.9354091847497588E-2</v>
      </c>
      <c r="F29" s="87">
        <f>F33/$A$30</f>
        <v>0.28159058781405605</v>
      </c>
      <c r="G29" s="87">
        <f>G33/$A$30</f>
        <v>0.29418848267718334</v>
      </c>
      <c r="H29" s="87">
        <f>H33/$A$30</f>
        <v>0.34486683766126291</v>
      </c>
      <c r="I29" s="88"/>
      <c r="J29" s="85"/>
    </row>
    <row r="30" spans="1:10" x14ac:dyDescent="0.2">
      <c r="A30" s="89">
        <f>SUM(C3:C28)</f>
        <v>554188.41534933157</v>
      </c>
      <c r="B30" s="147"/>
      <c r="C30" s="151" t="s">
        <v>294</v>
      </c>
      <c r="D30" s="152"/>
      <c r="E30" s="90">
        <f>E33-E31</f>
        <v>43977.11841245</v>
      </c>
      <c r="F30" s="90">
        <f>F33-F31</f>
        <v>156054.2416379585</v>
      </c>
      <c r="G30" s="90">
        <f>G33-G31</f>
        <v>163035.84902889252</v>
      </c>
      <c r="H30" s="90">
        <f>H33-H31</f>
        <v>191121.20627003047</v>
      </c>
      <c r="I30" s="84"/>
    </row>
    <row r="31" spans="1:10" x14ac:dyDescent="0.2">
      <c r="A31" s="91"/>
      <c r="B31" s="147"/>
      <c r="C31" s="153" t="s">
        <v>295</v>
      </c>
      <c r="D31" s="154"/>
      <c r="E31" s="92"/>
      <c r="F31" s="92"/>
      <c r="G31" s="92"/>
      <c r="H31" s="93"/>
      <c r="I31" s="94"/>
    </row>
    <row r="32" spans="1:10" x14ac:dyDescent="0.2">
      <c r="A32" s="91"/>
      <c r="B32" s="147"/>
      <c r="C32" s="151" t="s">
        <v>296</v>
      </c>
      <c r="D32" s="152"/>
      <c r="E32" s="95" t="s">
        <v>297</v>
      </c>
      <c r="F32" s="95" t="s">
        <v>297</v>
      </c>
      <c r="G32" s="95" t="s">
        <v>297</v>
      </c>
      <c r="H32" s="95" t="s">
        <v>297</v>
      </c>
      <c r="I32" s="84"/>
    </row>
    <row r="33" spans="1:9" x14ac:dyDescent="0.2">
      <c r="A33" s="91"/>
      <c r="B33" s="148"/>
      <c r="C33" s="155" t="s">
        <v>298</v>
      </c>
      <c r="D33" s="156"/>
      <c r="E33" s="96">
        <f>E4+E6+E8+E10+E12+E14+E16+E18+E20+E22+E24+E26+E28</f>
        <v>43977.11841245</v>
      </c>
      <c r="F33" s="96">
        <f>F4+F6+F8+F10+F12+F14+F16+F18+F20+F22+F24+F26+F28</f>
        <v>156054.2416379585</v>
      </c>
      <c r="G33" s="96">
        <f>G4+G6+G8+G10+G12+G14+G16+G18+G20+G22+G24+G26+G28</f>
        <v>163035.84902889252</v>
      </c>
      <c r="H33" s="96">
        <f>H4+H6+H8+H10+H12+H14+H16+H18+H20+H22+H24+H26+H28</f>
        <v>191121.20627003047</v>
      </c>
      <c r="I33" s="94"/>
    </row>
    <row r="34" spans="1:9" x14ac:dyDescent="0.2">
      <c r="A34" s="91"/>
      <c r="B34" s="157" t="s">
        <v>299</v>
      </c>
      <c r="C34" s="153" t="s">
        <v>293</v>
      </c>
      <c r="D34" s="154"/>
      <c r="E34" s="97">
        <f>E29</f>
        <v>7.9354091847497588E-2</v>
      </c>
      <c r="F34" s="97">
        <f t="shared" ref="F34:H35" si="25">E34+F29</f>
        <v>0.36094467966155364</v>
      </c>
      <c r="G34" s="97">
        <f t="shared" si="25"/>
        <v>0.65513316233873697</v>
      </c>
      <c r="H34" s="97">
        <f t="shared" si="25"/>
        <v>0.99999999999999989</v>
      </c>
      <c r="I34" s="94"/>
    </row>
    <row r="35" spans="1:9" x14ac:dyDescent="0.2">
      <c r="A35" s="91"/>
      <c r="B35" s="147"/>
      <c r="C35" s="151" t="s">
        <v>294</v>
      </c>
      <c r="D35" s="152"/>
      <c r="E35" s="90">
        <f>E30</f>
        <v>43977.11841245</v>
      </c>
      <c r="F35" s="90">
        <f t="shared" si="25"/>
        <v>200031.36005040852</v>
      </c>
      <c r="G35" s="90">
        <f t="shared" si="25"/>
        <v>363067.20907930104</v>
      </c>
      <c r="H35" s="90">
        <f t="shared" si="25"/>
        <v>554188.41534933145</v>
      </c>
      <c r="I35" s="84"/>
    </row>
    <row r="36" spans="1:9" x14ac:dyDescent="0.2">
      <c r="A36" s="91"/>
      <c r="B36" s="147"/>
      <c r="C36" s="153" t="s">
        <v>295</v>
      </c>
      <c r="D36" s="154"/>
      <c r="E36" s="92"/>
      <c r="F36" s="92"/>
      <c r="G36" s="92"/>
      <c r="H36" s="92"/>
      <c r="I36" s="94"/>
    </row>
    <row r="37" spans="1:9" x14ac:dyDescent="0.2">
      <c r="A37" s="91"/>
      <c r="B37" s="147"/>
      <c r="C37" s="151" t="s">
        <v>296</v>
      </c>
      <c r="D37" s="152"/>
      <c r="E37" s="95" t="s">
        <v>297</v>
      </c>
      <c r="F37" s="95" t="s">
        <v>297</v>
      </c>
      <c r="G37" s="95" t="s">
        <v>297</v>
      </c>
      <c r="H37" s="95" t="s">
        <v>297</v>
      </c>
      <c r="I37" s="84"/>
    </row>
    <row r="38" spans="1:9" x14ac:dyDescent="0.2">
      <c r="A38" s="91"/>
      <c r="B38" s="158"/>
      <c r="C38" s="159" t="s">
        <v>298</v>
      </c>
      <c r="D38" s="160"/>
      <c r="E38" s="98">
        <f>E33</f>
        <v>43977.11841245</v>
      </c>
      <c r="F38" s="98">
        <f>E38+F33</f>
        <v>200031.36005040852</v>
      </c>
      <c r="G38" s="98">
        <f>F38+G33</f>
        <v>363067.20907930104</v>
      </c>
      <c r="H38" s="98">
        <f>G38+H33</f>
        <v>554188.41534933145</v>
      </c>
      <c r="I38" s="99"/>
    </row>
    <row r="43" spans="1:9" x14ac:dyDescent="0.25">
      <c r="B43" s="100"/>
      <c r="C43" s="100"/>
    </row>
  </sheetData>
  <mergeCells count="64">
    <mergeCell ref="B34:B38"/>
    <mergeCell ref="C34:D34"/>
    <mergeCell ref="C35:D35"/>
    <mergeCell ref="C36:D36"/>
    <mergeCell ref="C37:D37"/>
    <mergeCell ref="C38:D38"/>
    <mergeCell ref="A27:A28"/>
    <mergeCell ref="B27:B28"/>
    <mergeCell ref="C27:C28"/>
    <mergeCell ref="D27:D28"/>
    <mergeCell ref="B29:B33"/>
    <mergeCell ref="C29:D29"/>
    <mergeCell ref="C30:D30"/>
    <mergeCell ref="C31:D31"/>
    <mergeCell ref="C32:D32"/>
    <mergeCell ref="C33:D33"/>
    <mergeCell ref="A23:A24"/>
    <mergeCell ref="B23:B24"/>
    <mergeCell ref="C23:C24"/>
    <mergeCell ref="D23:D24"/>
    <mergeCell ref="A25:A26"/>
    <mergeCell ref="B25:B26"/>
    <mergeCell ref="C25:C26"/>
    <mergeCell ref="D25:D26"/>
    <mergeCell ref="A19:A20"/>
    <mergeCell ref="B19:B20"/>
    <mergeCell ref="C19:C20"/>
    <mergeCell ref="D19:D20"/>
    <mergeCell ref="A21:A22"/>
    <mergeCell ref="B21:B22"/>
    <mergeCell ref="C21:C22"/>
    <mergeCell ref="D21:D22"/>
    <mergeCell ref="A15:A16"/>
    <mergeCell ref="B15:B16"/>
    <mergeCell ref="C15:C16"/>
    <mergeCell ref="D15:D16"/>
    <mergeCell ref="A17:A18"/>
    <mergeCell ref="B17:B18"/>
    <mergeCell ref="C17:C18"/>
    <mergeCell ref="D17:D18"/>
    <mergeCell ref="A11:A12"/>
    <mergeCell ref="B11:B12"/>
    <mergeCell ref="C11:C12"/>
    <mergeCell ref="D11:D12"/>
    <mergeCell ref="A13:A14"/>
    <mergeCell ref="B13:B14"/>
    <mergeCell ref="C13:C14"/>
    <mergeCell ref="D13:D14"/>
    <mergeCell ref="A7:A8"/>
    <mergeCell ref="B7:B8"/>
    <mergeCell ref="C7:C8"/>
    <mergeCell ref="D7:D8"/>
    <mergeCell ref="A9:A10"/>
    <mergeCell ref="B9:B10"/>
    <mergeCell ref="C9:C10"/>
    <mergeCell ref="D9:D10"/>
    <mergeCell ref="A3:A4"/>
    <mergeCell ref="B3:B4"/>
    <mergeCell ref="C3:C4"/>
    <mergeCell ref="D3:D4"/>
    <mergeCell ref="A5:A6"/>
    <mergeCell ref="B5:B6"/>
    <mergeCell ref="C5:C6"/>
    <mergeCell ref="D5:D6"/>
  </mergeCells>
  <pageMargins left="0.511811024" right="0.511811024" top="0.78740157499999996" bottom="0.78740157499999996" header="0.31496062000000002" footer="0.31496062000000002"/>
  <pageSetup paperSize="9" scale="81" orientation="landscape" horizontalDpi="0" verticalDpi="0" r:id="rId1"/>
  <headerFooter>
    <oddHeader xml:space="preserve">&amp;CPREFEITURA MUNICIPAL DE TAVARES/RS
&amp;"-,Negrito"CRONOGRAMA FÍSICO-FINANCEIRO
&amp;"-,Regular"&amp;10Ampliação e Reforma da Escola da Vila 12 de Maio
</oddHeader>
    <oddFooter>&amp;C&amp;K00-046Tavares, 31 de agosto de 2021.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view="pageLayout" topLeftCell="A25" zoomScaleNormal="100" zoomScaleSheetLayoutView="100" workbookViewId="0"/>
  </sheetViews>
  <sheetFormatPr defaultRowHeight="12.75" x14ac:dyDescent="0.2"/>
  <cols>
    <col min="1" max="1" width="9.140625" style="41"/>
    <col min="2" max="2" width="72.28515625" style="40" bestFit="1" customWidth="1"/>
    <col min="3" max="3" width="9.140625" style="41"/>
    <col min="4" max="4" width="11.5703125" style="40" bestFit="1" customWidth="1"/>
    <col min="5" max="5" width="9.140625" style="40"/>
    <col min="6" max="6" width="9.5703125" style="40" bestFit="1" customWidth="1"/>
    <col min="7" max="16384" width="9.140625" style="40"/>
  </cols>
  <sheetData>
    <row r="1" spans="1:6" ht="30" x14ac:dyDescent="0.2">
      <c r="A1" s="52">
        <v>74106</v>
      </c>
      <c r="B1" s="53" t="s">
        <v>136</v>
      </c>
      <c r="C1" s="52" t="s">
        <v>125</v>
      </c>
      <c r="D1" s="52"/>
      <c r="E1" s="54"/>
      <c r="F1" s="54">
        <f>SUM(F2:F3)</f>
        <v>11.27</v>
      </c>
    </row>
    <row r="2" spans="1:6" x14ac:dyDescent="0.2">
      <c r="A2" s="55">
        <v>7319</v>
      </c>
      <c r="B2" s="56" t="s">
        <v>137</v>
      </c>
      <c r="C2" s="55" t="s">
        <v>93</v>
      </c>
      <c r="D2" s="57">
        <v>0.4</v>
      </c>
      <c r="E2" s="58">
        <v>10.44</v>
      </c>
      <c r="F2" s="58">
        <f>TRUNC(D2*E2,2)</f>
        <v>4.17</v>
      </c>
    </row>
    <row r="3" spans="1:6" x14ac:dyDescent="0.2">
      <c r="A3" s="47">
        <v>88316</v>
      </c>
      <c r="B3" s="46" t="s">
        <v>138</v>
      </c>
      <c r="C3" s="55" t="s">
        <v>139</v>
      </c>
      <c r="D3" s="48">
        <v>0.4</v>
      </c>
      <c r="E3" s="49">
        <v>17.760000000000002</v>
      </c>
      <c r="F3" s="49">
        <f>TRUNC(D3*E3,2)</f>
        <v>7.1</v>
      </c>
    </row>
    <row r="5" spans="1:6" ht="15" x14ac:dyDescent="0.2">
      <c r="A5" s="52" t="s">
        <v>276</v>
      </c>
      <c r="B5" s="53" t="s">
        <v>258</v>
      </c>
      <c r="C5" s="52" t="s">
        <v>111</v>
      </c>
      <c r="D5" s="52"/>
      <c r="E5" s="54"/>
      <c r="F5" s="54">
        <f>SUM(F6:F19)</f>
        <v>1561.5900000000001</v>
      </c>
    </row>
    <row r="6" spans="1:6" x14ac:dyDescent="0.2">
      <c r="A6" s="43">
        <v>67</v>
      </c>
      <c r="B6" s="42" t="s">
        <v>112</v>
      </c>
      <c r="C6" s="43" t="s">
        <v>111</v>
      </c>
      <c r="D6" s="44">
        <v>1</v>
      </c>
      <c r="E6" s="45">
        <v>15.04</v>
      </c>
      <c r="F6" s="45">
        <f>TRUNC(D6*E6,2)</f>
        <v>15.04</v>
      </c>
    </row>
    <row r="7" spans="1:6" x14ac:dyDescent="0.2">
      <c r="A7" s="43">
        <v>68</v>
      </c>
      <c r="B7" s="42" t="s">
        <v>113</v>
      </c>
      <c r="C7" s="43" t="s">
        <v>111</v>
      </c>
      <c r="D7" s="44">
        <v>2</v>
      </c>
      <c r="E7" s="45">
        <v>25.81</v>
      </c>
      <c r="F7" s="45">
        <f t="shared" ref="F7:F19" si="0">TRUNC(D7*E7,2)</f>
        <v>51.62</v>
      </c>
    </row>
    <row r="8" spans="1:6" x14ac:dyDescent="0.2">
      <c r="A8" s="43">
        <v>87</v>
      </c>
      <c r="B8" s="42" t="s">
        <v>114</v>
      </c>
      <c r="C8" s="43" t="s">
        <v>111</v>
      </c>
      <c r="D8" s="44">
        <v>1</v>
      </c>
      <c r="E8" s="45">
        <v>23.7</v>
      </c>
      <c r="F8" s="45">
        <f t="shared" si="0"/>
        <v>23.7</v>
      </c>
    </row>
    <row r="9" spans="1:6" x14ac:dyDescent="0.2">
      <c r="A9" s="43">
        <v>119</v>
      </c>
      <c r="B9" s="42" t="s">
        <v>115</v>
      </c>
      <c r="C9" s="43" t="s">
        <v>111</v>
      </c>
      <c r="D9" s="44">
        <v>0.4</v>
      </c>
      <c r="E9" s="45">
        <v>9.44</v>
      </c>
      <c r="F9" s="45">
        <f t="shared" si="0"/>
        <v>3.77</v>
      </c>
    </row>
    <row r="10" spans="1:6" x14ac:dyDescent="0.2">
      <c r="A10" s="43">
        <v>3146</v>
      </c>
      <c r="B10" s="42" t="s">
        <v>117</v>
      </c>
      <c r="C10" s="43" t="s">
        <v>111</v>
      </c>
      <c r="D10" s="44">
        <v>0.3</v>
      </c>
      <c r="E10" s="45">
        <v>5.16</v>
      </c>
      <c r="F10" s="45">
        <f t="shared" si="0"/>
        <v>1.54</v>
      </c>
    </row>
    <row r="11" spans="1:6" x14ac:dyDescent="0.2">
      <c r="A11" s="43">
        <v>3536</v>
      </c>
      <c r="B11" s="42" t="s">
        <v>116</v>
      </c>
      <c r="C11" s="43" t="s">
        <v>111</v>
      </c>
      <c r="D11" s="44">
        <v>1</v>
      </c>
      <c r="E11" s="45">
        <v>2.94</v>
      </c>
      <c r="F11" s="45">
        <f t="shared" si="0"/>
        <v>2.94</v>
      </c>
    </row>
    <row r="12" spans="1:6" x14ac:dyDescent="0.2">
      <c r="A12" s="43">
        <v>7140</v>
      </c>
      <c r="B12" s="42" t="s">
        <v>118</v>
      </c>
      <c r="C12" s="43" t="s">
        <v>111</v>
      </c>
      <c r="D12" s="44">
        <v>1</v>
      </c>
      <c r="E12" s="45">
        <v>5.56</v>
      </c>
      <c r="F12" s="45">
        <f t="shared" si="0"/>
        <v>5.56</v>
      </c>
    </row>
    <row r="13" spans="1:6" x14ac:dyDescent="0.2">
      <c r="A13" s="43">
        <v>9868</v>
      </c>
      <c r="B13" s="42" t="s">
        <v>119</v>
      </c>
      <c r="C13" s="43" t="s">
        <v>111</v>
      </c>
      <c r="D13" s="44">
        <v>1.5</v>
      </c>
      <c r="E13" s="45">
        <v>5</v>
      </c>
      <c r="F13" s="45">
        <f t="shared" si="0"/>
        <v>7.5</v>
      </c>
    </row>
    <row r="14" spans="1:6" x14ac:dyDescent="0.2">
      <c r="A14" s="43">
        <v>9869</v>
      </c>
      <c r="B14" s="42" t="s">
        <v>120</v>
      </c>
      <c r="C14" s="43" t="s">
        <v>111</v>
      </c>
      <c r="D14" s="44">
        <v>2</v>
      </c>
      <c r="E14" s="45">
        <v>11.23</v>
      </c>
      <c r="F14" s="45">
        <f t="shared" si="0"/>
        <v>22.46</v>
      </c>
    </row>
    <row r="15" spans="1:6" x14ac:dyDescent="0.2">
      <c r="A15" s="43">
        <v>11675</v>
      </c>
      <c r="B15" s="42" t="s">
        <v>121</v>
      </c>
      <c r="C15" s="43" t="s">
        <v>111</v>
      </c>
      <c r="D15" s="44">
        <v>1</v>
      </c>
      <c r="E15" s="45">
        <v>45.37</v>
      </c>
      <c r="F15" s="45">
        <f t="shared" si="0"/>
        <v>45.37</v>
      </c>
    </row>
    <row r="16" spans="1:6" ht="25.5" x14ac:dyDescent="0.2">
      <c r="A16" s="47">
        <v>11829</v>
      </c>
      <c r="B16" s="46" t="s">
        <v>122</v>
      </c>
      <c r="C16" s="47" t="s">
        <v>111</v>
      </c>
      <c r="D16" s="48">
        <v>1</v>
      </c>
      <c r="E16" s="49">
        <v>48.56</v>
      </c>
      <c r="F16" s="49">
        <f t="shared" si="0"/>
        <v>48.56</v>
      </c>
    </row>
    <row r="17" spans="1:6" x14ac:dyDescent="0.2">
      <c r="A17" s="43">
        <v>34640</v>
      </c>
      <c r="B17" s="42" t="s">
        <v>257</v>
      </c>
      <c r="C17" s="43" t="s">
        <v>111</v>
      </c>
      <c r="D17" s="44">
        <v>1</v>
      </c>
      <c r="E17" s="45">
        <v>1039.71</v>
      </c>
      <c r="F17" s="45">
        <f t="shared" si="0"/>
        <v>1039.71</v>
      </c>
    </row>
    <row r="18" spans="1:6" x14ac:dyDescent="0.2">
      <c r="A18" s="43">
        <v>88248</v>
      </c>
      <c r="B18" s="42" t="s">
        <v>123</v>
      </c>
      <c r="C18" s="43" t="s">
        <v>111</v>
      </c>
      <c r="D18" s="44">
        <v>7.7</v>
      </c>
      <c r="E18" s="45">
        <v>16.48</v>
      </c>
      <c r="F18" s="45">
        <f t="shared" si="0"/>
        <v>126.89</v>
      </c>
    </row>
    <row r="19" spans="1:6" x14ac:dyDescent="0.2">
      <c r="A19" s="43">
        <v>88267</v>
      </c>
      <c r="B19" s="42" t="s">
        <v>124</v>
      </c>
      <c r="C19" s="43" t="s">
        <v>111</v>
      </c>
      <c r="D19" s="44">
        <v>7.7</v>
      </c>
      <c r="E19" s="45">
        <v>21.68</v>
      </c>
      <c r="F19" s="45">
        <f t="shared" si="0"/>
        <v>166.93</v>
      </c>
    </row>
    <row r="21" spans="1:6" ht="45" x14ac:dyDescent="0.2">
      <c r="A21" s="52" t="s">
        <v>274</v>
      </c>
      <c r="B21" s="53" t="s">
        <v>273</v>
      </c>
      <c r="C21" s="52" t="s">
        <v>111</v>
      </c>
      <c r="D21" s="52"/>
      <c r="E21" s="54"/>
      <c r="F21" s="54">
        <f>SUM(F22:F30)</f>
        <v>169.26</v>
      </c>
    </row>
    <row r="22" spans="1:6" ht="25.5" x14ac:dyDescent="0.2">
      <c r="A22" s="55">
        <v>90447</v>
      </c>
      <c r="B22" s="56" t="s">
        <v>265</v>
      </c>
      <c r="C22" s="55" t="s">
        <v>127</v>
      </c>
      <c r="D22" s="57">
        <v>2.2000000000000002</v>
      </c>
      <c r="E22" s="58">
        <v>5.56</v>
      </c>
      <c r="F22" s="58">
        <f>TRUNC(D22*E22,2)</f>
        <v>12.23</v>
      </c>
    </row>
    <row r="23" spans="1:6" ht="12.75" customHeight="1" x14ac:dyDescent="0.2">
      <c r="A23" s="55">
        <v>90456</v>
      </c>
      <c r="B23" s="56" t="s">
        <v>266</v>
      </c>
      <c r="C23" s="55" t="s">
        <v>111</v>
      </c>
      <c r="D23" s="57">
        <v>1</v>
      </c>
      <c r="E23" s="58">
        <v>3.49</v>
      </c>
      <c r="F23" s="58">
        <f t="shared" ref="F23:F30" si="1">TRUNC(D23*E23,2)</f>
        <v>3.49</v>
      </c>
    </row>
    <row r="24" spans="1:6" ht="25.5" x14ac:dyDescent="0.2">
      <c r="A24" s="55">
        <v>90466</v>
      </c>
      <c r="B24" s="56" t="s">
        <v>267</v>
      </c>
      <c r="C24" s="55" t="s">
        <v>127</v>
      </c>
      <c r="D24" s="57">
        <v>2.2000000000000002</v>
      </c>
      <c r="E24" s="58">
        <v>11</v>
      </c>
      <c r="F24" s="58">
        <f t="shared" si="1"/>
        <v>24.2</v>
      </c>
    </row>
    <row r="25" spans="1:6" ht="25.5" x14ac:dyDescent="0.2">
      <c r="A25" s="55">
        <v>91842</v>
      </c>
      <c r="B25" s="56" t="s">
        <v>268</v>
      </c>
      <c r="C25" s="55" t="s">
        <v>127</v>
      </c>
      <c r="D25" s="57">
        <v>2</v>
      </c>
      <c r="E25" s="58">
        <v>5.29</v>
      </c>
      <c r="F25" s="58">
        <f t="shared" si="1"/>
        <v>10.58</v>
      </c>
    </row>
    <row r="26" spans="1:6" ht="25.5" x14ac:dyDescent="0.2">
      <c r="A26" s="55">
        <v>91852</v>
      </c>
      <c r="B26" s="56" t="s">
        <v>269</v>
      </c>
      <c r="C26" s="55" t="s">
        <v>127</v>
      </c>
      <c r="D26" s="57">
        <v>2.2000000000000002</v>
      </c>
      <c r="E26" s="58">
        <v>7.39</v>
      </c>
      <c r="F26" s="58">
        <f t="shared" si="1"/>
        <v>16.25</v>
      </c>
    </row>
    <row r="27" spans="1:6" ht="25.5" x14ac:dyDescent="0.2">
      <c r="A27" s="55">
        <v>91924</v>
      </c>
      <c r="B27" s="56" t="s">
        <v>270</v>
      </c>
      <c r="C27" s="55" t="s">
        <v>127</v>
      </c>
      <c r="D27" s="57">
        <v>12.6</v>
      </c>
      <c r="E27" s="58">
        <v>2.71</v>
      </c>
      <c r="F27" s="58">
        <f t="shared" si="1"/>
        <v>34.14</v>
      </c>
    </row>
    <row r="28" spans="1:6" ht="25.5" x14ac:dyDescent="0.2">
      <c r="A28" s="55">
        <v>91937</v>
      </c>
      <c r="B28" s="56" t="s">
        <v>271</v>
      </c>
      <c r="C28" s="55" t="s">
        <v>111</v>
      </c>
      <c r="D28" s="57">
        <v>0.375</v>
      </c>
      <c r="E28" s="58">
        <v>10.39</v>
      </c>
      <c r="F28" s="58">
        <f t="shared" si="1"/>
        <v>3.89</v>
      </c>
    </row>
    <row r="29" spans="1:6" ht="25.5" x14ac:dyDescent="0.2">
      <c r="A29" s="55">
        <v>91940</v>
      </c>
      <c r="B29" s="56" t="s">
        <v>272</v>
      </c>
      <c r="C29" s="55" t="s">
        <v>111</v>
      </c>
      <c r="D29" s="57">
        <v>1</v>
      </c>
      <c r="E29" s="58">
        <v>13.07</v>
      </c>
      <c r="F29" s="58">
        <f t="shared" si="1"/>
        <v>13.07</v>
      </c>
    </row>
    <row r="30" spans="1:6" ht="25.5" x14ac:dyDescent="0.2">
      <c r="A30" s="55">
        <v>91967</v>
      </c>
      <c r="B30" s="56" t="s">
        <v>275</v>
      </c>
      <c r="C30" s="55" t="s">
        <v>111</v>
      </c>
      <c r="D30" s="57">
        <v>1</v>
      </c>
      <c r="E30" s="73">
        <v>51.41</v>
      </c>
      <c r="F30" s="58">
        <f t="shared" si="1"/>
        <v>51.41</v>
      </c>
    </row>
    <row r="33" spans="2:2" ht="15" x14ac:dyDescent="0.25">
      <c r="B33"/>
    </row>
  </sheetData>
  <pageMargins left="0.511811024" right="0.511811024" top="0.78740157499999996" bottom="0.78740157499999996" header="0.31496062000000002" footer="0.31496062000000002"/>
  <pageSetup paperSize="9" scale="76" orientation="portrait" horizontalDpi="0" verticalDpi="0" r:id="rId1"/>
  <headerFooter>
    <oddHeader>&amp;C&amp;12&amp;K00-031PREFEITURA MUNICIPAL DE TAVARES/RS - ADM. 2021-2024&amp;11
&amp;10COMPOSIÇÕES AMPLIAÇÃO E REFORMA DA ESCOLA DA VILA 12 DE MAIO</oddHeader>
    <oddFooter>&amp;C&amp;K00-029Tavares, 31 de agosto de 2021.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abSelected="1" view="pageLayout" topLeftCell="A24" zoomScaleNormal="100" zoomScaleSheetLayoutView="100" workbookViewId="0">
      <selection activeCell="E40" sqref="E40"/>
    </sheetView>
  </sheetViews>
  <sheetFormatPr defaultRowHeight="12.75" x14ac:dyDescent="0.25"/>
  <cols>
    <col min="1" max="1" width="39.28515625" style="14" customWidth="1"/>
    <col min="2" max="2" width="13.140625" style="14" customWidth="1"/>
    <col min="3" max="3" width="33.42578125" style="14" customWidth="1"/>
    <col min="4" max="5" width="9.28515625" style="14" customWidth="1"/>
    <col min="6" max="16384" width="9.140625" style="14"/>
  </cols>
  <sheetData>
    <row r="1" spans="1:9" ht="15" x14ac:dyDescent="0.25">
      <c r="A1" s="166" t="s">
        <v>76</v>
      </c>
      <c r="B1" s="166"/>
      <c r="C1" s="166"/>
      <c r="D1" s="166"/>
      <c r="E1" s="166"/>
      <c r="F1" s="13"/>
      <c r="G1" s="13"/>
      <c r="H1" s="13"/>
      <c r="I1" s="13"/>
    </row>
    <row r="2" spans="1:9" ht="15" x14ac:dyDescent="0.25">
      <c r="A2" s="167" t="s">
        <v>77</v>
      </c>
      <c r="B2" s="167"/>
      <c r="C2" s="167"/>
      <c r="D2" s="167"/>
      <c r="E2" s="167"/>
      <c r="F2" s="15"/>
      <c r="G2" s="15"/>
      <c r="H2" s="15"/>
      <c r="I2" s="15"/>
    </row>
    <row r="3" spans="1:9" x14ac:dyDescent="0.25">
      <c r="A3" s="168" t="s">
        <v>207</v>
      </c>
      <c r="B3" s="168"/>
      <c r="C3" s="168"/>
      <c r="D3" s="168"/>
      <c r="E3" s="168"/>
      <c r="F3" s="16"/>
      <c r="G3" s="16"/>
      <c r="H3" s="16"/>
      <c r="I3" s="16"/>
    </row>
    <row r="4" spans="1:9" ht="12.75" customHeight="1" x14ac:dyDescent="0.25">
      <c r="A4" s="17"/>
      <c r="B4" s="17"/>
      <c r="C4" s="17"/>
      <c r="D4" s="17"/>
      <c r="E4" s="17"/>
    </row>
    <row r="5" spans="1:9" ht="12.75" customHeight="1" x14ac:dyDescent="0.25">
      <c r="A5" s="169" t="s">
        <v>78</v>
      </c>
      <c r="B5" s="170"/>
      <c r="C5" s="171"/>
      <c r="D5" s="172">
        <v>0.82010000000000005</v>
      </c>
      <c r="E5" s="173"/>
    </row>
    <row r="6" spans="1:9" ht="12.75" customHeight="1" x14ac:dyDescent="0.25">
      <c r="A6" s="161" t="s">
        <v>79</v>
      </c>
      <c r="B6" s="162"/>
      <c r="C6" s="163"/>
      <c r="D6" s="164">
        <v>0.03</v>
      </c>
      <c r="E6" s="165"/>
    </row>
    <row r="7" spans="1:9" ht="12.75" customHeight="1" x14ac:dyDescent="0.25">
      <c r="A7" s="18"/>
      <c r="B7" s="18"/>
      <c r="C7" s="18"/>
      <c r="D7" s="18"/>
      <c r="E7" s="18"/>
    </row>
    <row r="8" spans="1:9" ht="15.75" x14ac:dyDescent="0.25">
      <c r="A8" s="175" t="s">
        <v>80</v>
      </c>
      <c r="B8" s="176"/>
      <c r="C8" s="176"/>
      <c r="D8" s="176"/>
      <c r="E8" s="177"/>
    </row>
    <row r="9" spans="1:9" x14ac:dyDescent="0.25">
      <c r="A9" s="19"/>
      <c r="B9" s="20"/>
      <c r="C9" s="20"/>
      <c r="D9" s="20"/>
      <c r="E9" s="21"/>
    </row>
    <row r="10" spans="1:9" ht="25.5" x14ac:dyDescent="0.25">
      <c r="A10" s="178" t="s">
        <v>81</v>
      </c>
      <c r="B10" s="178"/>
      <c r="C10" s="178"/>
      <c r="D10" s="22" t="s">
        <v>82</v>
      </c>
      <c r="E10" s="23" t="s">
        <v>83</v>
      </c>
    </row>
    <row r="11" spans="1:9" x14ac:dyDescent="0.25">
      <c r="A11" s="179" t="s">
        <v>84</v>
      </c>
      <c r="B11" s="180"/>
      <c r="C11" s="181"/>
      <c r="D11" s="24" t="s">
        <v>85</v>
      </c>
      <c r="E11" s="25">
        <v>0.04</v>
      </c>
    </row>
    <row r="12" spans="1:9" x14ac:dyDescent="0.25">
      <c r="A12" s="182" t="s">
        <v>86</v>
      </c>
      <c r="B12" s="183"/>
      <c r="C12" s="184"/>
      <c r="D12" s="26" t="s">
        <v>87</v>
      </c>
      <c r="E12" s="27">
        <v>8.5000000000000006E-3</v>
      </c>
    </row>
    <row r="13" spans="1:9" x14ac:dyDescent="0.25">
      <c r="A13" s="182" t="s">
        <v>88</v>
      </c>
      <c r="B13" s="183"/>
      <c r="C13" s="184"/>
      <c r="D13" s="26" t="s">
        <v>89</v>
      </c>
      <c r="E13" s="27">
        <v>9.7000000000000003E-3</v>
      </c>
    </row>
    <row r="14" spans="1:9" x14ac:dyDescent="0.25">
      <c r="A14" s="182" t="s">
        <v>90</v>
      </c>
      <c r="B14" s="183"/>
      <c r="C14" s="184"/>
      <c r="D14" s="26" t="s">
        <v>91</v>
      </c>
      <c r="E14" s="27">
        <v>5.8999999999999999E-3</v>
      </c>
    </row>
    <row r="15" spans="1:9" x14ac:dyDescent="0.25">
      <c r="A15" s="182" t="s">
        <v>92</v>
      </c>
      <c r="B15" s="183"/>
      <c r="C15" s="184"/>
      <c r="D15" s="26" t="s">
        <v>93</v>
      </c>
      <c r="E15" s="27">
        <v>6.1600000000000002E-2</v>
      </c>
    </row>
    <row r="16" spans="1:9" x14ac:dyDescent="0.25">
      <c r="A16" s="182" t="s">
        <v>94</v>
      </c>
      <c r="B16" s="183"/>
      <c r="C16" s="184"/>
      <c r="D16" s="26" t="s">
        <v>95</v>
      </c>
      <c r="E16" s="27">
        <v>3.6499999999999998E-2</v>
      </c>
    </row>
    <row r="17" spans="1:8" ht="12.75" customHeight="1" x14ac:dyDescent="0.25">
      <c r="A17" s="182" t="s">
        <v>96</v>
      </c>
      <c r="B17" s="183"/>
      <c r="C17" s="184"/>
      <c r="D17" s="26" t="s">
        <v>97</v>
      </c>
      <c r="E17" s="28">
        <v>2.46E-2</v>
      </c>
    </row>
    <row r="18" spans="1:8" ht="12.75" customHeight="1" x14ac:dyDescent="0.25">
      <c r="A18" s="182" t="s">
        <v>98</v>
      </c>
      <c r="B18" s="183"/>
      <c r="C18" s="184"/>
      <c r="D18" s="26" t="s">
        <v>99</v>
      </c>
      <c r="E18" s="28">
        <v>0</v>
      </c>
    </row>
    <row r="19" spans="1:8" x14ac:dyDescent="0.25">
      <c r="A19" s="182" t="s">
        <v>100</v>
      </c>
      <c r="B19" s="183"/>
      <c r="C19" s="184"/>
      <c r="D19" s="26" t="s">
        <v>101</v>
      </c>
      <c r="E19" s="64">
        <f>ROUND((((1+E11+E12+E13)*(1+E14)*(1+E15))/(1-E16-E17-E18))-1,4)</f>
        <v>0.20349999999999999</v>
      </c>
      <c r="F19" s="29"/>
      <c r="G19" s="29"/>
      <c r="H19" s="29"/>
    </row>
    <row r="20" spans="1:8" x14ac:dyDescent="0.25">
      <c r="A20" s="174"/>
      <c r="B20" s="174"/>
      <c r="C20" s="174"/>
      <c r="D20" s="174"/>
      <c r="E20" s="174"/>
    </row>
    <row r="21" spans="1:8" x14ac:dyDescent="0.25">
      <c r="A21" s="188" t="s">
        <v>102</v>
      </c>
      <c r="B21" s="188"/>
      <c r="C21" s="188"/>
      <c r="D21" s="188"/>
      <c r="E21" s="188"/>
    </row>
    <row r="22" spans="1:8" x14ac:dyDescent="0.25">
      <c r="A22" s="30" t="s">
        <v>103</v>
      </c>
      <c r="B22" s="189" t="s">
        <v>104</v>
      </c>
      <c r="C22" s="189"/>
      <c r="D22" s="31"/>
      <c r="E22" s="31"/>
    </row>
    <row r="23" spans="1:8" x14ac:dyDescent="0.25">
      <c r="A23" s="30"/>
      <c r="B23" s="189" t="s">
        <v>105</v>
      </c>
      <c r="C23" s="189"/>
      <c r="D23" s="31"/>
      <c r="E23" s="31"/>
    </row>
    <row r="24" spans="1:8" x14ac:dyDescent="0.25">
      <c r="A24" s="30"/>
      <c r="B24" s="32"/>
      <c r="C24" s="32"/>
      <c r="D24" s="31"/>
      <c r="E24" s="31"/>
    </row>
    <row r="25" spans="1:8" ht="38.25" customHeight="1" x14ac:dyDescent="0.25">
      <c r="A25" s="190" t="s">
        <v>106</v>
      </c>
      <c r="B25" s="191"/>
      <c r="C25" s="191"/>
      <c r="D25" s="191"/>
      <c r="E25" s="192"/>
    </row>
    <row r="26" spans="1:8" x14ac:dyDescent="0.25">
      <c r="A26" s="33"/>
      <c r="B26" s="34"/>
      <c r="C26" s="34"/>
      <c r="D26" s="34"/>
      <c r="E26" s="35"/>
    </row>
    <row r="27" spans="1:8" ht="38.25" customHeight="1" x14ac:dyDescent="0.25">
      <c r="A27" s="190" t="s">
        <v>107</v>
      </c>
      <c r="B27" s="191"/>
      <c r="C27" s="191"/>
      <c r="D27" s="191"/>
      <c r="E27" s="192"/>
    </row>
    <row r="28" spans="1:8" x14ac:dyDescent="0.25">
      <c r="A28" s="36"/>
      <c r="B28" s="36"/>
      <c r="C28" s="36"/>
      <c r="D28" s="36"/>
      <c r="E28" s="36"/>
    </row>
    <row r="29" spans="1:8" x14ac:dyDescent="0.25">
      <c r="A29" s="193" t="s">
        <v>108</v>
      </c>
      <c r="B29" s="193"/>
      <c r="C29" s="193"/>
      <c r="D29" s="193"/>
      <c r="E29" s="193"/>
    </row>
    <row r="30" spans="1:8" ht="51" customHeight="1" x14ac:dyDescent="0.25">
      <c r="A30" s="185"/>
      <c r="B30" s="186"/>
      <c r="C30" s="186"/>
      <c r="D30" s="186"/>
      <c r="E30" s="187"/>
    </row>
    <row r="31" spans="1:8" x14ac:dyDescent="0.25">
      <c r="A31" s="30"/>
      <c r="B31" s="30"/>
      <c r="C31" s="30"/>
      <c r="D31" s="30"/>
      <c r="E31" s="30"/>
    </row>
    <row r="34" spans="1:1" x14ac:dyDescent="0.25">
      <c r="A34" s="37"/>
    </row>
    <row r="38" spans="1:1" x14ac:dyDescent="0.25">
      <c r="A38" s="37"/>
    </row>
    <row r="39" spans="1:1" x14ac:dyDescent="0.25">
      <c r="A39" s="37"/>
    </row>
    <row r="40" spans="1:1" x14ac:dyDescent="0.25">
      <c r="A40" s="37"/>
    </row>
  </sheetData>
  <mergeCells count="26">
    <mergeCell ref="A30:E30"/>
    <mergeCell ref="A21:E21"/>
    <mergeCell ref="B22:C22"/>
    <mergeCell ref="B23:C23"/>
    <mergeCell ref="A25:E25"/>
    <mergeCell ref="A27:E27"/>
    <mergeCell ref="A29:E29"/>
    <mergeCell ref="A20:E20"/>
    <mergeCell ref="A8:E8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6:C6"/>
    <mergeCell ref="D6:E6"/>
    <mergeCell ref="A1:E1"/>
    <mergeCell ref="A2:E2"/>
    <mergeCell ref="A3:E3"/>
    <mergeCell ref="A5:C5"/>
    <mergeCell ref="D5:E5"/>
  </mergeCells>
  <pageMargins left="0.7" right="0.7" top="0.75" bottom="0.75" header="0.3" footer="0.3"/>
  <pageSetup paperSize="9" scale="85" orientation="portrait" horizontalDpi="0" verticalDpi="0" r:id="rId1"/>
  <headerFooter>
    <oddFooter>&amp;C&amp;K01+044Tavares, 31 de agosto de 2021.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Orçamento</vt:lpstr>
      <vt:lpstr>Cronograma</vt:lpstr>
      <vt:lpstr>Composições</vt:lpstr>
      <vt:lpstr>BDI</vt:lpstr>
      <vt:lpstr>BDI!Area_de_impressao</vt:lpstr>
      <vt:lpstr>Cronograma!Area_de_impressao</vt:lpstr>
      <vt:lpstr>Orçamento!Area_de_impressao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compras</cp:lastModifiedBy>
  <cp:lastPrinted>2021-09-08T18:33:02Z</cp:lastPrinted>
  <dcterms:created xsi:type="dcterms:W3CDTF">2020-03-09T14:09:07Z</dcterms:created>
  <dcterms:modified xsi:type="dcterms:W3CDTF">2021-10-18T11:58:59Z</dcterms:modified>
</cp:coreProperties>
</file>